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НЗ14\Desktop\"/>
    </mc:Choice>
  </mc:AlternateContent>
  <bookViews>
    <workbookView xWindow="0" yWindow="0" windowWidth="11535" windowHeight="5865"/>
  </bookViews>
  <sheets>
    <sheet name="Звіт" sheetId="1" r:id="rId1"/>
  </sheets>
  <definedNames>
    <definedName name="_xlnm._FilterDatabase" localSheetId="0" hidden="1">Звіт!$A$2:$T$2</definedName>
  </definedNames>
  <calcPr calcId="162913"/>
</workbook>
</file>

<file path=xl/calcChain.xml><?xml version="1.0" encoding="utf-8"?>
<calcChain xmlns="http://schemas.openxmlformats.org/spreadsheetml/2006/main">
  <c r="B132" i="1" l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<sst xmlns="http://schemas.openxmlformats.org/spreadsheetml/2006/main" count="1451" uniqueCount="183">
  <si>
    <t>Звіт</t>
  </si>
  <si>
    <t>№ тендера</t>
  </si>
  <si>
    <t>№ тендера в ЦБД</t>
  </si>
  <si>
    <t>Опубліковано</t>
  </si>
  <si>
    <t>Пропозиції по</t>
  </si>
  <si>
    <t>Статус</t>
  </si>
  <si>
    <t>Організатор</t>
  </si>
  <si>
    <t>Область організатора</t>
  </si>
  <si>
    <t>Місто організатора</t>
  </si>
  <si>
    <t>Вид торгів</t>
  </si>
  <si>
    <t>Категорія</t>
  </si>
  <si>
    <t>Предмет торгів</t>
  </si>
  <si>
    <t>Бюджет, грн.</t>
  </si>
  <si>
    <t>Крок зниження ставки</t>
  </si>
  <si>
    <t>ПДВ</t>
  </si>
  <si>
    <t>Дата аукціону</t>
  </si>
  <si>
    <t>Кількість</t>
  </si>
  <si>
    <t>Одиниця виміру</t>
  </si>
  <si>
    <t>Сума електронної гарантії, грн.</t>
  </si>
  <si>
    <t>Період оплати</t>
  </si>
  <si>
    <t>Умови оплати</t>
  </si>
  <si>
    <t>Період уточнень</t>
  </si>
  <si>
    <t>КОМУНАЛЬНИЙ ЗАКЛАД "ДОШКІЛЬНИЙ НАВЧАЛЬНИЙ ЗАКЛАД № 14 ВІННИЦЬКОЇ МІСЬКОЇ РАДИ"</t>
  </si>
  <si>
    <t>Вінницька область</t>
  </si>
  <si>
    <t/>
  </si>
  <si>
    <t>Спрощена/Допорогова закупівля</t>
  </si>
  <si>
    <t>15530000-2 Вершкове масло</t>
  </si>
  <si>
    <t>Масло вершкове</t>
  </si>
  <si>
    <t>з ПДВ</t>
  </si>
  <si>
    <t>кг.</t>
  </si>
  <si>
    <t>90 календарних днів</t>
  </si>
  <si>
    <t>Послеоплата: 100%</t>
  </si>
  <si>
    <t>Закупівля відмінена</t>
  </si>
  <si>
    <t>37530000-2 Вироби для парків розваг, настільних або кімнатних ігор</t>
  </si>
  <si>
    <t>ДК 021:2015 “37530000-2 Вироби для парків розваг, настільних або кімнатних ігор( Каруселі,гойдалки)</t>
  </si>
  <si>
    <t>од.</t>
  </si>
  <si>
    <t>Завершено</t>
  </si>
  <si>
    <t>ДК 021:2015 “37530000-2 Вироби для парків розваг, настільних або кімнатних ігор( Комплект дитячого і...</t>
  </si>
  <si>
    <t>комп.</t>
  </si>
  <si>
    <t>Відкриті торги</t>
  </si>
  <si>
    <t>15110000-2 М’ясо</t>
  </si>
  <si>
    <t>15110000-2   «М’ясо»</t>
  </si>
  <si>
    <t>03220000-9 Овочі, фрукти та горіхи</t>
  </si>
  <si>
    <t>03220000-9 Овочі, фрукти та горіхи  (овочі та фрукти свіжі)</t>
  </si>
  <si>
    <t>КОМУНАЛЬНИЙ ЗАКЛАД "ДОШКІЛЬНИЙ НАВЧАЛЬНИЙ ЗАКЛАД №14 ВІННИЦЬКОЇ МІСЬКОЇ РАДИ"</t>
  </si>
  <si>
    <t>15510000-6 Молоко та вершки</t>
  </si>
  <si>
    <t>Молоко та вершки</t>
  </si>
  <si>
    <t>М’ясо</t>
  </si>
  <si>
    <t>15810000-9 Хлібопродукти, свіжовипечені хлібобулочні та кондитерські вироби</t>
  </si>
  <si>
    <t>Хлібопродукти, свіжовипечені хлібобулочні та кондитерські вироби</t>
  </si>
  <si>
    <t>03210000-6 Зернові культури та картопля</t>
  </si>
  <si>
    <t>Зернові культури та картопля.( Картопля)</t>
  </si>
  <si>
    <t>30 календарних днів</t>
  </si>
  <si>
    <t>Овочі, фрукти та горіхи  (Буряк, цибуля, морква, яблуко, лимон) ( місцевий бюджет)</t>
  </si>
  <si>
    <t>60 календарних днів</t>
  </si>
  <si>
    <t>Закупівля не відбулась</t>
  </si>
  <si>
    <t>09310000-5 Електрична енергія</t>
  </si>
  <si>
    <t>Електрична енергія</t>
  </si>
  <si>
    <t>кВт⋅год</t>
  </si>
  <si>
    <t>5 робочих днів</t>
  </si>
  <si>
    <t>15610000-7 Продукція борошномельно-круп'яної промисловості</t>
  </si>
  <si>
    <t>Продукція борошномельно-круп'яної промисловості (Борошно. Крупи в асортименті</t>
  </si>
  <si>
    <t>15330000-0 Оброблені фрукти та овочі</t>
  </si>
  <si>
    <t>- Оброблені фрукти та овочі (Томатна паста, горошок зелений, ікра кабачкова, капуста квашена,  помід...</t>
  </si>
  <si>
    <t>без ПДВ</t>
  </si>
  <si>
    <t>Овочі, фрукти та горіхи</t>
  </si>
  <si>
    <t>33760000-5 Туалетний папір, носові хустинки, рушники для рук і серветки</t>
  </si>
  <si>
    <t>Рушники паперові</t>
  </si>
  <si>
    <t>упак.</t>
  </si>
  <si>
    <t>пач.</t>
  </si>
  <si>
    <t>300 календарних днів</t>
  </si>
  <si>
    <t>Кваліфікація</t>
  </si>
  <si>
    <t>Молоко пастеризоване</t>
  </si>
  <si>
    <t>л.</t>
  </si>
  <si>
    <t>15540000-5 Сирні продукти</t>
  </si>
  <si>
    <t>Сир м’який кисломолочний. Сир твердий.</t>
  </si>
  <si>
    <t>М'ясо яловичини. М'ясо свинини. Філе куряче</t>
  </si>
  <si>
    <t>Хліб пшеничний. Хліб житній. Батон молочний нарізний.</t>
  </si>
  <si>
    <t>15220000-6 Риба, рибне філе та інше м’ясо риби морожені</t>
  </si>
  <si>
    <t>Риба морожена хек</t>
  </si>
  <si>
    <t>Пропозиції розглянуті</t>
  </si>
  <si>
    <t>Закупівля без використання електронної системи</t>
  </si>
  <si>
    <t>39530000-6 Килимові покриття, килимки та килими</t>
  </si>
  <si>
    <t>Килимок для взуття 0,50*0,65 м у кількості 1 шт</t>
  </si>
  <si>
    <t>шт.</t>
  </si>
  <si>
    <t>33710000-0 Парфуми, засоби гігієни та презервативи</t>
  </si>
  <si>
    <t>Крем-мило рідке "Ушастый нянь" алоє 300 мл. з доз.</t>
  </si>
  <si>
    <t>5 календарних днів</t>
  </si>
  <si>
    <t>Рушник "Обухівський"</t>
  </si>
  <si>
    <t>33190000-8 Медичне обладнання та вироби медичного призначення різні</t>
  </si>
  <si>
    <t>Бактерицидний опромінювач (Код та назва відповідно до НК 024:2019: 35150 - Лампа ультрафіолетова гер...</t>
  </si>
  <si>
    <t>38410000-2 Лічильні прилади</t>
  </si>
  <si>
    <t>Інфрачервоний термометр (Код та назва відповідно до НК 024:2019: 17888 Інфрачервоний термометр паціє...</t>
  </si>
  <si>
    <t>39830000-9 Продукція для чищення</t>
  </si>
  <si>
    <t>Дезінфікуючий засіб для обробки поверхонь «Санітаб» 1 кг (Код та назва відповідно до НК 024:2019: 41...</t>
  </si>
  <si>
    <t>10 календарних днів</t>
  </si>
  <si>
    <t>Аванс: 100%</t>
  </si>
  <si>
    <t>33740000-9 Засоби для догляду за руками та нігтями</t>
  </si>
  <si>
    <t>Засіб дезінфікуючий АХД 2000 експрес (Код та назва відповідно до НК 024:2019: 41550 – Дезінфікуючі з...</t>
  </si>
  <si>
    <t>Ранні овочі, ягоди</t>
  </si>
  <si>
    <t>Персики</t>
  </si>
  <si>
    <t>Переговорна процедура (скорочена)</t>
  </si>
  <si>
    <t>09320000-8 Пара, гаряча вода та пов’язана продукція</t>
  </si>
  <si>
    <t>09320000-8 Пара, гаряча вода та пов'язана продукція</t>
  </si>
  <si>
    <t>Гкал</t>
  </si>
  <si>
    <t>Сирні продукти</t>
  </si>
  <si>
    <t>15130000-8 М’ясопродукти</t>
  </si>
  <si>
    <t>Мясопродукти (ковбаса)</t>
  </si>
  <si>
    <t>Молоко</t>
  </si>
  <si>
    <t>80570000-0 Послуги з професійної підготовки у сфері підвищення кваліфікації</t>
  </si>
  <si>
    <t>Послуги з професійної підготовки у сфері підвищення кваліфікації (курси медсестер)</t>
  </si>
  <si>
    <t>посл.</t>
  </si>
  <si>
    <t>Продукція для чищення(Дезінфікуючий засіб для обробки поверхонь«Санітаб» 1 кг(Код та назва відповідн...</t>
  </si>
  <si>
    <t>Пара, гаряча вода та пов’язана продукція</t>
  </si>
  <si>
    <t>Риба</t>
  </si>
  <si>
    <t>65110000-7 Розподіл води</t>
  </si>
  <si>
    <t>Послуги з водопостачання та водовідведення</t>
  </si>
  <si>
    <t>м.куб.</t>
  </si>
  <si>
    <t>Риба морожена</t>
  </si>
  <si>
    <t>Фрукти, ягоди</t>
  </si>
  <si>
    <t>Зернові культури та картопля.( Картопля молода)</t>
  </si>
  <si>
    <t>Ранні овочі</t>
  </si>
  <si>
    <t>10.11.3         Мясо замороженное и замороженные пищевые субпродукты; мясо и пищевые с...</t>
  </si>
  <si>
    <t>Мясо</t>
  </si>
  <si>
    <t>Дошкільний навчальний заклад №14</t>
  </si>
  <si>
    <t>15112000-6 М’ясо свійської птиці</t>
  </si>
  <si>
    <t>Мясо свійської птиці</t>
  </si>
  <si>
    <t>15111000-9 М’ясо великої рогатої худоби родини бикових</t>
  </si>
  <si>
    <t>Мясо яловиче</t>
  </si>
  <si>
    <t>15541000-2 Столовий сир</t>
  </si>
  <si>
    <t>Сир кисломолочний</t>
  </si>
  <si>
    <t>35.30.1 Пара та гаряча вода; постачання  пари та гарячої води (09320000-8 Пара, гаряча вода та повяз...</t>
  </si>
  <si>
    <t>15511000-3 Молоко</t>
  </si>
  <si>
    <t>33140000-3 Медичні матеріали</t>
  </si>
  <si>
    <t>Маски захисні медичні (хірургічні) (Код та назва відповідно до НК 024:2019:35177 Маска хірургічна, о...</t>
  </si>
  <si>
    <t>Дезинфікуючий засіб для обробки поверхонь «Санітаб» 1 кг (Код та назва відповідно до НК 024:2019:415...</t>
  </si>
  <si>
    <t>Мило рідке «Детское» 300 мл. з дозатором, мило рідке «Детское» 300г Дой-Пак</t>
  </si>
  <si>
    <t>64210000-1 Послуги телефонного зв’язку та передачі даних</t>
  </si>
  <si>
    <t>Послуги з передавання даних і повідомлень (телекомунікаційні послуги), а також послуги, пов'язані те...</t>
  </si>
  <si>
    <t>Послуги з централізованого водопостачання та водовідведення</t>
  </si>
  <si>
    <t>Термометр мед. елект. ІЧ лобн. YТ-1 б/батар. (Код та назва відповідно до НК 024:2019: 17888 Інфрачер...</t>
  </si>
  <si>
    <t>85110000-3 Послуги лікувальних закладів та супутні послуги</t>
  </si>
  <si>
    <t>Профілактичне дослідження на носійство патогенного стафілококу. Профілактичне дослідження на носійст...</t>
  </si>
  <si>
    <t>77310000-6 Послуги з озеленення територій та утримання зелених насаджень</t>
  </si>
  <si>
    <t>Послуги по знесенню аварійних дерев Комунального закладу "ДНЗ №14 ВМР" вул. Москаленка, 42 в м. Вінн...</t>
  </si>
  <si>
    <t>15840000-8 Какао; шоколад та цукрові кондитерські вироби</t>
  </si>
  <si>
    <t>Новорічні подарунки (солодощі) - "Подарунковий набір "Новорічне диво"</t>
  </si>
  <si>
    <t>Капуста</t>
  </si>
  <si>
    <t>15850000-1 Макаронні вироби</t>
  </si>
  <si>
    <t>Макарони</t>
  </si>
  <si>
    <t>Обов'язковий профілактичний медичний огляд працівників</t>
  </si>
  <si>
    <t>Рушник паперовий</t>
  </si>
  <si>
    <t>Дезінфікуючий засіб для обробки поверхонь«Санітаб» 1 кг(Код та назва відповідно до НК 024:2019: 4154...</t>
  </si>
  <si>
    <t>90510000-5 Утилізація/видалення сміття та поводження зі сміттям</t>
  </si>
  <si>
    <t>Надання послуг з поводження з побутовими відходами</t>
  </si>
  <si>
    <t>Борошно</t>
  </si>
  <si>
    <t>15830000-5 Цукор і супутня продукція</t>
  </si>
  <si>
    <t>Цукор</t>
  </si>
  <si>
    <t>03140000-4 Продукція тваринництва та супутня продукція</t>
  </si>
  <si>
    <t>Яйця курячі</t>
  </si>
  <si>
    <t>15550000-8 Молочні продукти різні</t>
  </si>
  <si>
    <t>Кефір та сметана</t>
  </si>
  <si>
    <t>Какао</t>
  </si>
  <si>
    <t>15320000-7 Фруктові та овочеві соки</t>
  </si>
  <si>
    <t>Сік</t>
  </si>
  <si>
    <t>15820000-2 Сухарі та печиво; пресерви з хлібобулочних і кондитерських виробів</t>
  </si>
  <si>
    <t>Печиво, сухарі панірувальні</t>
  </si>
  <si>
    <t>15890000-3 Продукти харчування та сушені продукти різні</t>
  </si>
  <si>
    <t>Дріжджі</t>
  </si>
  <si>
    <t>15860000-4 Кава, чай та супутня продукція</t>
  </si>
  <si>
    <t>Кава,чай</t>
  </si>
  <si>
    <t>Теплова енергія</t>
  </si>
  <si>
    <t>Послуги з передавання даних і повідомлень (телекомунікаційні послуги)</t>
  </si>
  <si>
    <t>65310000-9 Розподіл електричної енергії</t>
  </si>
  <si>
    <t>Послуги з розподілу електричної енергії та супутні послуги з компенсації перетікання реактивної енер...</t>
  </si>
  <si>
    <t>Послуги з розподілу електроенергії та супутні послуги з компенсації перетікання реактивної енергії</t>
  </si>
  <si>
    <t>Крупи в асортименті</t>
  </si>
  <si>
    <t>15620000-0 Крохмалі та крохмалепродукти</t>
  </si>
  <si>
    <t>Крупа манна та крохмаль</t>
  </si>
  <si>
    <t>Сухофрукти,повидло та родзинки</t>
  </si>
  <si>
    <t>Огірки квашені, помідори квашені,капуста квашена,томатна паста, горошок консервований, ікра кабачков...</t>
  </si>
  <si>
    <t>72260000-5 Послуги, пов’язані з програмним забезпеченням</t>
  </si>
  <si>
    <t>Послуги з супроводу інформаційної системи енергетичного моніторингу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</si>
</sst>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#,##0.00"/>
  </numFmts>
  <fonts count="4" x14ac:knownFonts="1">
    <font>
      <sz val="11"/>
      <name val="Calibri"/>
    </font>
    <font>
      <sz val="20"/>
      <name val="Calibri"/>
    </font>
    <font>
      <sz val="12"/>
      <name val="Calibri"/>
    </font>
    <font>
      <u/>
      <sz val="12"/>
      <color rgb="FF0563C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AEBD7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 applyNumberFormat="1" applyFo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vertical="center" wrapText="1"/>
    </xf>
    <xf numFmtId="14" fontId="2" fillId="0" borderId="2" xfId="0" applyNumberFormat="1" applyFont="1" applyBorder="1" applyAlignment="1" applyProtection="1">
      <alignment vertical="center" wrapText="1"/>
    </xf>
    <xf numFmtId="22" fontId="2" fillId="0" borderId="2" xfId="0" applyNumberFormat="1" applyFont="1" applyBorder="1" applyAlignment="1" applyProtection="1">
      <alignment vertical="center" wrapText="1"/>
    </xf>
    <xf numFmtId="0" fontId="2" fillId="0" borderId="2" xfId="0" applyNumberFormat="1" applyFont="1" applyBorder="1" applyAlignment="1" applyProtection="1">
      <alignment vertical="center" wrapText="1"/>
    </xf>
    <xf numFmtId="164" fontId="2" fillId="0" borderId="2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abSelected="1" workbookViewId="0">
      <selection sqref="A1:T1"/>
    </sheetView>
  </sheetViews>
  <sheetFormatPr defaultRowHeight="15" x14ac:dyDescent="0.25"/>
  <cols>
    <col min="1" max="1" width="15" customWidth="1"/>
    <col min="2" max="2" width="25" customWidth="1"/>
    <col min="3" max="4" width="18" customWidth="1"/>
    <col min="5" max="5" width="25" customWidth="1"/>
    <col min="6" max="6" width="50" customWidth="1"/>
    <col min="7" max="8" width="25" customWidth="1"/>
    <col min="9" max="9" width="30" customWidth="1"/>
    <col min="10" max="10" width="40" customWidth="1"/>
    <col min="11" max="11" width="50" customWidth="1"/>
    <col min="12" max="13" width="15" customWidth="1"/>
    <col min="14" max="14" width="10" customWidth="1"/>
    <col min="15" max="15" width="18" customWidth="1"/>
    <col min="16" max="16" width="15" customWidth="1"/>
    <col min="17" max="17" width="10" customWidth="1"/>
    <col min="18" max="18" width="20" customWidth="1"/>
    <col min="19" max="20" width="25" customWidth="1"/>
  </cols>
  <sheetData>
    <row r="1" spans="1:20" ht="60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60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</row>
    <row r="3" spans="1:20" ht="47.25" x14ac:dyDescent="0.25">
      <c r="A3" s="2" t="str">
        <f>HYPERLINK("https://smarttender.biz/publichni-zakupivli-prozorro/16534174","9280892")</f>
        <v>9280892</v>
      </c>
      <c r="B3" s="2" t="str">
        <f>HYPERLINK("https://prozorro.gov.ua/tender/UA-2021-01-25-007402-b","UA-2021-01-25-007402-b")</f>
        <v>UA-2021-01-25-007402-b</v>
      </c>
      <c r="C3" s="3">
        <v>44221</v>
      </c>
      <c r="D3" s="3">
        <v>44230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  <c r="K3" s="5" t="s">
        <v>27</v>
      </c>
      <c r="L3" s="6">
        <v>95400</v>
      </c>
      <c r="M3" s="5"/>
      <c r="N3" s="5" t="s">
        <v>28</v>
      </c>
      <c r="O3" s="5"/>
      <c r="P3" s="6">
        <v>530</v>
      </c>
      <c r="Q3" s="5" t="s">
        <v>29</v>
      </c>
      <c r="R3" s="5"/>
      <c r="S3" s="5" t="s">
        <v>30</v>
      </c>
      <c r="T3" s="5" t="s">
        <v>31</v>
      </c>
    </row>
    <row r="4" spans="1:20" ht="47.25" x14ac:dyDescent="0.25">
      <c r="A4" s="2" t="str">
        <f>HYPERLINK("https://smarttender.biz/publichni-zakupivli-prozorro/2100317","1306766")</f>
        <v>1306766</v>
      </c>
      <c r="B4" s="2" t="str">
        <f>HYPERLINK("https://prozorro.gov.ua/tender/UA-2017-08-04-001735-b","UA-2017-08-04-001735-b")</f>
        <v>UA-2017-08-04-001735-b</v>
      </c>
      <c r="C4" s="3">
        <v>42951</v>
      </c>
      <c r="D4" s="4">
        <v>42958.833333333299</v>
      </c>
      <c r="E4" s="5" t="s">
        <v>32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33</v>
      </c>
      <c r="K4" s="5" t="s">
        <v>34</v>
      </c>
      <c r="L4" s="6">
        <v>93400</v>
      </c>
      <c r="M4" s="5"/>
      <c r="N4" s="5" t="s">
        <v>28</v>
      </c>
      <c r="O4" s="4">
        <v>42961.505092592597</v>
      </c>
      <c r="P4" s="6">
        <v>10</v>
      </c>
      <c r="Q4" s="5" t="s">
        <v>35</v>
      </c>
      <c r="R4" s="5"/>
      <c r="S4" s="5" t="s">
        <v>24</v>
      </c>
      <c r="T4" s="5" t="s">
        <v>24</v>
      </c>
    </row>
    <row r="5" spans="1:20" ht="47.25" x14ac:dyDescent="0.25">
      <c r="A5" s="2" t="str">
        <f>HYPERLINK("https://smarttender.biz/publichni-zakupivli-prozorro/2192618","1366129")</f>
        <v>1366129</v>
      </c>
      <c r="B5" s="2" t="str">
        <f>HYPERLINK("https://prozorro.gov.ua/tender/UA-2017-08-22-000449-a","UA-2017-08-22-000449-a")</f>
        <v>UA-2017-08-22-000449-a</v>
      </c>
      <c r="C5" s="3">
        <v>42969</v>
      </c>
      <c r="D5" s="4">
        <v>42978.541666666701</v>
      </c>
      <c r="E5" s="5" t="s">
        <v>36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33</v>
      </c>
      <c r="K5" s="5" t="s">
        <v>37</v>
      </c>
      <c r="L5" s="6">
        <v>81690</v>
      </c>
      <c r="M5" s="5"/>
      <c r="N5" s="5" t="s">
        <v>28</v>
      </c>
      <c r="O5" s="4">
        <v>42979.525138888901</v>
      </c>
      <c r="P5" s="6">
        <v>1</v>
      </c>
      <c r="Q5" s="5" t="s">
        <v>38</v>
      </c>
      <c r="R5" s="5"/>
      <c r="S5" s="5" t="s">
        <v>24</v>
      </c>
      <c r="T5" s="5" t="s">
        <v>24</v>
      </c>
    </row>
    <row r="6" spans="1:20" ht="47.25" x14ac:dyDescent="0.25">
      <c r="A6" s="2" t="str">
        <f>HYPERLINK("https://smarttender.biz/publichni-zakupivli-prozorro/2959121","1831044")</f>
        <v>1831044</v>
      </c>
      <c r="B6" s="2" t="str">
        <f>HYPERLINK("https://prozorro.gov.ua/tender/UA-2017-12-12-004050-c","UA-2017-12-12-004050-c")</f>
        <v>UA-2017-12-12-004050-c</v>
      </c>
      <c r="C6" s="3">
        <v>43081</v>
      </c>
      <c r="D6" s="4">
        <v>43096.833333333299</v>
      </c>
      <c r="E6" s="5" t="s">
        <v>36</v>
      </c>
      <c r="F6" s="5" t="s">
        <v>22</v>
      </c>
      <c r="G6" s="5" t="s">
        <v>23</v>
      </c>
      <c r="H6" s="5" t="s">
        <v>24</v>
      </c>
      <c r="I6" s="5" t="s">
        <v>39</v>
      </c>
      <c r="J6" s="5" t="s">
        <v>40</v>
      </c>
      <c r="K6" s="5" t="s">
        <v>41</v>
      </c>
      <c r="L6" s="6">
        <v>260933.65</v>
      </c>
      <c r="M6" s="5"/>
      <c r="N6" s="5" t="s">
        <v>28</v>
      </c>
      <c r="O6" s="4">
        <v>43097.644386574102</v>
      </c>
      <c r="P6" s="6">
        <v>2860</v>
      </c>
      <c r="Q6" s="5" t="s">
        <v>29</v>
      </c>
      <c r="R6" s="5"/>
      <c r="S6" s="5" t="s">
        <v>24</v>
      </c>
      <c r="T6" s="5" t="s">
        <v>24</v>
      </c>
    </row>
    <row r="7" spans="1:20" ht="47.25" x14ac:dyDescent="0.25">
      <c r="A7" s="2" t="str">
        <f>HYPERLINK("https://smarttender.biz/publichni-zakupivli-prozorro/3405081","2087815")</f>
        <v>2087815</v>
      </c>
      <c r="B7" s="2" t="str">
        <f>HYPERLINK("https://prozorro.gov.ua/tender/UA-2018-02-06-002899-a","UA-2018-02-06-002899-a")</f>
        <v>UA-2018-02-06-002899-a</v>
      </c>
      <c r="C7" s="3">
        <v>43137</v>
      </c>
      <c r="D7" s="4">
        <v>43144.958333333299</v>
      </c>
      <c r="E7" s="5" t="s">
        <v>36</v>
      </c>
      <c r="F7" s="5" t="s">
        <v>22</v>
      </c>
      <c r="G7" s="5" t="s">
        <v>23</v>
      </c>
      <c r="H7" s="5" t="s">
        <v>24</v>
      </c>
      <c r="I7" s="5" t="s">
        <v>25</v>
      </c>
      <c r="J7" s="5" t="s">
        <v>42</v>
      </c>
      <c r="K7" s="5" t="s">
        <v>43</v>
      </c>
      <c r="L7" s="6">
        <v>81755.59</v>
      </c>
      <c r="M7" s="5"/>
      <c r="N7" s="5" t="s">
        <v>28</v>
      </c>
      <c r="O7" s="4">
        <v>43145.569212962997</v>
      </c>
      <c r="P7" s="6">
        <v>5933</v>
      </c>
      <c r="Q7" s="5" t="s">
        <v>29</v>
      </c>
      <c r="R7" s="5"/>
      <c r="S7" s="5" t="s">
        <v>24</v>
      </c>
      <c r="T7" s="5" t="s">
        <v>24</v>
      </c>
    </row>
    <row r="8" spans="1:20" ht="47.25" x14ac:dyDescent="0.25">
      <c r="A8" s="2" t="str">
        <f>HYPERLINK("https://smarttender.biz/publichni-zakupivli-prozorro/5573046","3330101")</f>
        <v>3330101</v>
      </c>
      <c r="B8" s="2" t="str">
        <f>HYPERLINK("https://prozorro.gov.ua/tender/UA-2018-12-14-003826-c","UA-2018-12-14-003826-c")</f>
        <v>UA-2018-12-14-003826-c</v>
      </c>
      <c r="C8" s="3">
        <v>43448</v>
      </c>
      <c r="D8" s="3">
        <v>43465</v>
      </c>
      <c r="E8" s="5" t="s">
        <v>36</v>
      </c>
      <c r="F8" s="5" t="s">
        <v>44</v>
      </c>
      <c r="G8" s="5" t="s">
        <v>23</v>
      </c>
      <c r="H8" s="5" t="s">
        <v>24</v>
      </c>
      <c r="I8" s="5" t="s">
        <v>39</v>
      </c>
      <c r="J8" s="5" t="s">
        <v>45</v>
      </c>
      <c r="K8" s="5" t="s">
        <v>46</v>
      </c>
      <c r="L8" s="6">
        <v>226080</v>
      </c>
      <c r="M8" s="5"/>
      <c r="N8" s="5" t="s">
        <v>28</v>
      </c>
      <c r="O8" s="4">
        <v>43467.484548611101</v>
      </c>
      <c r="P8" s="5"/>
      <c r="Q8" s="5" t="s">
        <v>24</v>
      </c>
      <c r="R8" s="5"/>
      <c r="S8" s="5" t="s">
        <v>24</v>
      </c>
      <c r="T8" s="5" t="s">
        <v>24</v>
      </c>
    </row>
    <row r="9" spans="1:20" ht="47.25" x14ac:dyDescent="0.25">
      <c r="A9" s="2" t="str">
        <f>HYPERLINK("https://smarttender.biz/publichni-zakupivli-prozorro/5574094","3330698")</f>
        <v>3330698</v>
      </c>
      <c r="B9" s="2" t="str">
        <f>HYPERLINK("https://prozorro.gov.ua/tender/UA-2018-12-14-004228-c","UA-2018-12-14-004228-c")</f>
        <v>UA-2018-12-14-004228-c</v>
      </c>
      <c r="C9" s="3">
        <v>43448</v>
      </c>
      <c r="D9" s="3">
        <v>43465</v>
      </c>
      <c r="E9" s="5" t="s">
        <v>36</v>
      </c>
      <c r="F9" s="5" t="s">
        <v>44</v>
      </c>
      <c r="G9" s="5" t="s">
        <v>23</v>
      </c>
      <c r="H9" s="5" t="s">
        <v>24</v>
      </c>
      <c r="I9" s="5" t="s">
        <v>39</v>
      </c>
      <c r="J9" s="5" t="s">
        <v>40</v>
      </c>
      <c r="K9" s="5" t="s">
        <v>47</v>
      </c>
      <c r="L9" s="6">
        <v>226763</v>
      </c>
      <c r="M9" s="5"/>
      <c r="N9" s="5" t="s">
        <v>28</v>
      </c>
      <c r="O9" s="4">
        <v>43467.542974536998</v>
      </c>
      <c r="P9" s="6">
        <v>2450</v>
      </c>
      <c r="Q9" s="5" t="s">
        <v>29</v>
      </c>
      <c r="R9" s="5"/>
      <c r="S9" s="5" t="s">
        <v>24</v>
      </c>
      <c r="T9" s="5" t="s">
        <v>24</v>
      </c>
    </row>
    <row r="10" spans="1:20" ht="47.25" x14ac:dyDescent="0.25">
      <c r="A10" s="2" t="str">
        <f>HYPERLINK("https://smarttender.biz/publichni-zakupivli-prozorro/5719305","3410794")</f>
        <v>3410794</v>
      </c>
      <c r="B10" s="2" t="str">
        <f>HYPERLINK("https://prozorro.gov.ua/tender/UA-2018-12-28-001630-b","UA-2018-12-28-001630-b")</f>
        <v>UA-2018-12-28-001630-b</v>
      </c>
      <c r="C10" s="3">
        <v>43462</v>
      </c>
      <c r="D10" s="4">
        <v>43473.666666666701</v>
      </c>
      <c r="E10" s="5" t="s">
        <v>36</v>
      </c>
      <c r="F10" s="5" t="s">
        <v>22</v>
      </c>
      <c r="G10" s="5" t="s">
        <v>23</v>
      </c>
      <c r="H10" s="5" t="s">
        <v>24</v>
      </c>
      <c r="I10" s="5" t="s">
        <v>25</v>
      </c>
      <c r="J10" s="5" t="s">
        <v>48</v>
      </c>
      <c r="K10" s="5" t="s">
        <v>49</v>
      </c>
      <c r="L10" s="6">
        <v>59180</v>
      </c>
      <c r="M10" s="5"/>
      <c r="N10" s="5" t="s">
        <v>28</v>
      </c>
      <c r="O10" s="5"/>
      <c r="P10" s="6">
        <v>4400</v>
      </c>
      <c r="Q10" s="5" t="s">
        <v>29</v>
      </c>
      <c r="R10" s="5"/>
      <c r="S10" s="5" t="s">
        <v>24</v>
      </c>
      <c r="T10" s="5" t="s">
        <v>24</v>
      </c>
    </row>
    <row r="11" spans="1:20" ht="47.25" x14ac:dyDescent="0.25">
      <c r="A11" s="2" t="str">
        <f>HYPERLINK("https://smarttender.biz/publichni-zakupivli-prozorro/6306644","3749205")</f>
        <v>3749205</v>
      </c>
      <c r="B11" s="2" t="str">
        <f>HYPERLINK("https://prozorro.gov.ua/tender/UA-2019-03-14-002381-a","UA-2019-03-14-002381-a")</f>
        <v>UA-2019-03-14-002381-a</v>
      </c>
      <c r="C11" s="3">
        <v>43538</v>
      </c>
      <c r="D11" s="3">
        <v>43544</v>
      </c>
      <c r="E11" s="5" t="s">
        <v>36</v>
      </c>
      <c r="F11" s="5" t="s">
        <v>22</v>
      </c>
      <c r="G11" s="5" t="s">
        <v>23</v>
      </c>
      <c r="H11" s="5" t="s">
        <v>24</v>
      </c>
      <c r="I11" s="5" t="s">
        <v>25</v>
      </c>
      <c r="J11" s="5" t="s">
        <v>42</v>
      </c>
      <c r="K11" s="5" t="s">
        <v>42</v>
      </c>
      <c r="L11" s="6">
        <v>35462</v>
      </c>
      <c r="M11" s="5"/>
      <c r="N11" s="5" t="s">
        <v>28</v>
      </c>
      <c r="O11" s="4">
        <v>43544.609664351898</v>
      </c>
      <c r="P11" s="6">
        <v>2580</v>
      </c>
      <c r="Q11" s="5" t="s">
        <v>29</v>
      </c>
      <c r="R11" s="5"/>
      <c r="S11" s="5" t="s">
        <v>24</v>
      </c>
      <c r="T11" s="5" t="s">
        <v>24</v>
      </c>
    </row>
    <row r="12" spans="1:20" ht="47.25" x14ac:dyDescent="0.25">
      <c r="A12" s="2" t="str">
        <f>HYPERLINK("https://smarttender.biz/publichni-zakupivli-prozorro/6306927","3749364")</f>
        <v>3749364</v>
      </c>
      <c r="B12" s="2" t="str">
        <f>HYPERLINK("https://prozorro.gov.ua/tender/UA-2019-03-14-002440-a","UA-2019-03-14-002440-a")</f>
        <v>UA-2019-03-14-002440-a</v>
      </c>
      <c r="C12" s="3">
        <v>43538</v>
      </c>
      <c r="D12" s="3">
        <v>43544</v>
      </c>
      <c r="E12" s="5" t="s">
        <v>36</v>
      </c>
      <c r="F12" s="5" t="s">
        <v>22</v>
      </c>
      <c r="G12" s="5" t="s">
        <v>23</v>
      </c>
      <c r="H12" s="5" t="s">
        <v>24</v>
      </c>
      <c r="I12" s="5" t="s">
        <v>25</v>
      </c>
      <c r="J12" s="5" t="s">
        <v>50</v>
      </c>
      <c r="K12" s="5" t="s">
        <v>51</v>
      </c>
      <c r="L12" s="6">
        <v>35600</v>
      </c>
      <c r="M12" s="5"/>
      <c r="N12" s="5" t="s">
        <v>28</v>
      </c>
      <c r="O12" s="4">
        <v>43544.643402777801</v>
      </c>
      <c r="P12" s="6">
        <v>4000</v>
      </c>
      <c r="Q12" s="5" t="s">
        <v>29</v>
      </c>
      <c r="R12" s="5"/>
      <c r="S12" s="5" t="s">
        <v>24</v>
      </c>
      <c r="T12" s="5" t="s">
        <v>24</v>
      </c>
    </row>
    <row r="13" spans="1:20" ht="47.25" x14ac:dyDescent="0.25">
      <c r="A13" s="2" t="str">
        <f>HYPERLINK("https://smarttender.biz/publichni-zakupivli-prozorro/7616144","4493902")</f>
        <v>4493902</v>
      </c>
      <c r="B13" s="2" t="str">
        <f>HYPERLINK("https://prozorro.gov.ua/tender/UA-2019-09-16-001626-b","UA-2019-09-16-001626-b")</f>
        <v>UA-2019-09-16-001626-b</v>
      </c>
      <c r="C13" s="3">
        <v>43724</v>
      </c>
      <c r="D13" s="3">
        <v>43732</v>
      </c>
      <c r="E13" s="5" t="s">
        <v>36</v>
      </c>
      <c r="F13" s="5" t="s">
        <v>22</v>
      </c>
      <c r="G13" s="5" t="s">
        <v>23</v>
      </c>
      <c r="H13" s="5" t="s">
        <v>24</v>
      </c>
      <c r="I13" s="5" t="s">
        <v>25</v>
      </c>
      <c r="J13" s="5" t="s">
        <v>50</v>
      </c>
      <c r="K13" s="5" t="s">
        <v>51</v>
      </c>
      <c r="L13" s="6">
        <v>56990</v>
      </c>
      <c r="M13" s="5"/>
      <c r="N13" s="5" t="s">
        <v>28</v>
      </c>
      <c r="O13" s="5"/>
      <c r="P13" s="6">
        <v>4100</v>
      </c>
      <c r="Q13" s="5" t="s">
        <v>29</v>
      </c>
      <c r="R13" s="5"/>
      <c r="S13" s="5" t="s">
        <v>52</v>
      </c>
      <c r="T13" s="5" t="s">
        <v>31</v>
      </c>
    </row>
    <row r="14" spans="1:20" ht="47.25" x14ac:dyDescent="0.25">
      <c r="A14" s="2" t="str">
        <f>HYPERLINK("https://smarttender.biz/publichni-zakupivli-prozorro/7768194","4582966")</f>
        <v>4582966</v>
      </c>
      <c r="B14" s="2" t="str">
        <f>HYPERLINK("https://prozorro.gov.ua/tender/UA-2019-10-07-001858-b","UA-2019-10-07-001858-b")</f>
        <v>UA-2019-10-07-001858-b</v>
      </c>
      <c r="C14" s="3">
        <v>43745</v>
      </c>
      <c r="D14" s="3">
        <v>43748</v>
      </c>
      <c r="E14" s="5" t="s">
        <v>36</v>
      </c>
      <c r="F14" s="5" t="s">
        <v>22</v>
      </c>
      <c r="G14" s="5" t="s">
        <v>23</v>
      </c>
      <c r="H14" s="5" t="s">
        <v>24</v>
      </c>
      <c r="I14" s="5" t="s">
        <v>25</v>
      </c>
      <c r="J14" s="5" t="s">
        <v>42</v>
      </c>
      <c r="K14" s="5" t="s">
        <v>53</v>
      </c>
      <c r="L14" s="6">
        <v>27100</v>
      </c>
      <c r="M14" s="5"/>
      <c r="N14" s="5" t="s">
        <v>28</v>
      </c>
      <c r="O14" s="5"/>
      <c r="P14" s="6">
        <v>2485</v>
      </c>
      <c r="Q14" s="5" t="s">
        <v>29</v>
      </c>
      <c r="R14" s="5"/>
      <c r="S14" s="5" t="s">
        <v>52</v>
      </c>
      <c r="T14" s="5" t="s">
        <v>31</v>
      </c>
    </row>
    <row r="15" spans="1:20" ht="47.25" x14ac:dyDescent="0.25">
      <c r="A15" s="2" t="str">
        <f>HYPERLINK("https://smarttender.biz/publichni-zakupivli-prozorro/8286724","4887131")</f>
        <v>4887131</v>
      </c>
      <c r="B15" s="2" t="str">
        <f>HYPERLINK("https://prozorro.gov.ua/tender/UA-2019-12-09-001423-b","UA-2019-12-09-001423-b")</f>
        <v>UA-2019-12-09-001423-b</v>
      </c>
      <c r="C15" s="3">
        <v>43808</v>
      </c>
      <c r="D15" s="3">
        <v>43825</v>
      </c>
      <c r="E15" s="5" t="s">
        <v>32</v>
      </c>
      <c r="F15" s="5" t="s">
        <v>22</v>
      </c>
      <c r="G15" s="5" t="s">
        <v>23</v>
      </c>
      <c r="H15" s="5" t="s">
        <v>24</v>
      </c>
      <c r="I15" s="5" t="s">
        <v>39</v>
      </c>
      <c r="J15" s="5" t="s">
        <v>45</v>
      </c>
      <c r="K15" s="5" t="s">
        <v>46</v>
      </c>
      <c r="L15" s="6">
        <v>213706</v>
      </c>
      <c r="M15" s="5"/>
      <c r="N15" s="5" t="s">
        <v>28</v>
      </c>
      <c r="O15" s="4">
        <v>43825.503900463002</v>
      </c>
      <c r="P15" s="5"/>
      <c r="Q15" s="5" t="s">
        <v>24</v>
      </c>
      <c r="R15" s="5"/>
      <c r="S15" s="5" t="s">
        <v>30</v>
      </c>
      <c r="T15" s="5" t="s">
        <v>31</v>
      </c>
    </row>
    <row r="16" spans="1:20" ht="47.25" x14ac:dyDescent="0.25">
      <c r="A16" s="2" t="str">
        <f>HYPERLINK("https://smarttender.biz/publichni-zakupivli-prozorro/8287147","4887363")</f>
        <v>4887363</v>
      </c>
      <c r="B16" s="2" t="str">
        <f>HYPERLINK("https://prozorro.gov.ua/tender/UA-2019-12-09-001513-b","UA-2019-12-09-001513-b")</f>
        <v>UA-2019-12-09-001513-b</v>
      </c>
      <c r="C16" s="3">
        <v>43808</v>
      </c>
      <c r="D16" s="3">
        <v>43825</v>
      </c>
      <c r="E16" s="5" t="s">
        <v>36</v>
      </c>
      <c r="F16" s="5" t="s">
        <v>22</v>
      </c>
      <c r="G16" s="5" t="s">
        <v>23</v>
      </c>
      <c r="H16" s="5" t="s">
        <v>24</v>
      </c>
      <c r="I16" s="5" t="s">
        <v>39</v>
      </c>
      <c r="J16" s="5" t="s">
        <v>40</v>
      </c>
      <c r="K16" s="5" t="s">
        <v>47</v>
      </c>
      <c r="L16" s="6">
        <v>213706</v>
      </c>
      <c r="M16" s="5"/>
      <c r="N16" s="5" t="s">
        <v>28</v>
      </c>
      <c r="O16" s="4">
        <v>43825.469409722202</v>
      </c>
      <c r="P16" s="6">
        <v>2140</v>
      </c>
      <c r="Q16" s="5" t="s">
        <v>29</v>
      </c>
      <c r="R16" s="5"/>
      <c r="S16" s="5" t="s">
        <v>30</v>
      </c>
      <c r="T16" s="5" t="s">
        <v>31</v>
      </c>
    </row>
    <row r="17" spans="1:20" ht="47.25" x14ac:dyDescent="0.25">
      <c r="A17" s="2" t="str">
        <f>HYPERLINK("https://smarttender.biz/publichni-zakupivli-prozorro/8415616","4958953")</f>
        <v>4958953</v>
      </c>
      <c r="B17" s="2" t="str">
        <f>HYPERLINK("https://prozorro.gov.ua/tender/UA-2019-12-18-000567-b","UA-2019-12-18-000567-b")</f>
        <v>UA-2019-12-18-000567-b</v>
      </c>
      <c r="C17" s="3">
        <v>43817</v>
      </c>
      <c r="D17" s="3">
        <v>43825</v>
      </c>
      <c r="E17" s="5" t="s">
        <v>36</v>
      </c>
      <c r="F17" s="5" t="s">
        <v>22</v>
      </c>
      <c r="G17" s="5" t="s">
        <v>23</v>
      </c>
      <c r="H17" s="5" t="s">
        <v>24</v>
      </c>
      <c r="I17" s="5" t="s">
        <v>25</v>
      </c>
      <c r="J17" s="5" t="s">
        <v>48</v>
      </c>
      <c r="K17" s="5" t="s">
        <v>49</v>
      </c>
      <c r="L17" s="6">
        <v>72690</v>
      </c>
      <c r="M17" s="5"/>
      <c r="N17" s="5" t="s">
        <v>28</v>
      </c>
      <c r="O17" s="5"/>
      <c r="P17" s="6">
        <v>4400</v>
      </c>
      <c r="Q17" s="5" t="s">
        <v>29</v>
      </c>
      <c r="R17" s="5"/>
      <c r="S17" s="5" t="s">
        <v>54</v>
      </c>
      <c r="T17" s="5" t="s">
        <v>31</v>
      </c>
    </row>
    <row r="18" spans="1:20" ht="47.25" x14ac:dyDescent="0.25">
      <c r="A18" s="2" t="str">
        <f>HYPERLINK("https://smarttender.biz/publichni-zakupivli-prozorro/8300708","4895805")</f>
        <v>4895805</v>
      </c>
      <c r="B18" s="2" t="str">
        <f>HYPERLINK("https://prozorro.gov.ua/tender/UA-2019-12-10-000550-b","UA-2019-12-10-000550-b")</f>
        <v>UA-2019-12-10-000550-b</v>
      </c>
      <c r="C18" s="3">
        <v>43809</v>
      </c>
      <c r="D18" s="3">
        <v>43826</v>
      </c>
      <c r="E18" s="5" t="s">
        <v>36</v>
      </c>
      <c r="F18" s="5" t="s">
        <v>22</v>
      </c>
      <c r="G18" s="5" t="s">
        <v>23</v>
      </c>
      <c r="H18" s="5" t="s">
        <v>24</v>
      </c>
      <c r="I18" s="5" t="s">
        <v>39</v>
      </c>
      <c r="J18" s="5" t="s">
        <v>45</v>
      </c>
      <c r="K18" s="5" t="s">
        <v>46</v>
      </c>
      <c r="L18" s="6">
        <v>244428</v>
      </c>
      <c r="M18" s="5"/>
      <c r="N18" s="5" t="s">
        <v>28</v>
      </c>
      <c r="O18" s="4">
        <v>43826.571226851898</v>
      </c>
      <c r="P18" s="5"/>
      <c r="Q18" s="5" t="s">
        <v>24</v>
      </c>
      <c r="R18" s="5"/>
      <c r="S18" s="5" t="s">
        <v>30</v>
      </c>
      <c r="T18" s="5" t="s">
        <v>31</v>
      </c>
    </row>
    <row r="19" spans="1:20" ht="47.25" x14ac:dyDescent="0.25">
      <c r="A19" s="2" t="str">
        <f>HYPERLINK("https://smarttender.biz/publichni-zakupivli-prozorro/8344854","4920390")</f>
        <v>4920390</v>
      </c>
      <c r="B19" s="2" t="str">
        <f>HYPERLINK("https://prozorro.gov.ua/tender/UA-2019-12-12-003107-b","UA-2019-12-12-003107-b")</f>
        <v>UA-2019-12-12-003107-b</v>
      </c>
      <c r="C19" s="3">
        <v>43811</v>
      </c>
      <c r="D19" s="3">
        <v>43827</v>
      </c>
      <c r="E19" s="5" t="s">
        <v>55</v>
      </c>
      <c r="F19" s="5" t="s">
        <v>22</v>
      </c>
      <c r="G19" s="5" t="s">
        <v>23</v>
      </c>
      <c r="H19" s="5" t="s">
        <v>24</v>
      </c>
      <c r="I19" s="5" t="s">
        <v>39</v>
      </c>
      <c r="J19" s="5" t="s">
        <v>56</v>
      </c>
      <c r="K19" s="5" t="s">
        <v>57</v>
      </c>
      <c r="L19" s="6">
        <v>139430.20000000001</v>
      </c>
      <c r="M19" s="5"/>
      <c r="N19" s="5" t="s">
        <v>28</v>
      </c>
      <c r="O19" s="5"/>
      <c r="P19" s="6">
        <v>53627</v>
      </c>
      <c r="Q19" s="5" t="s">
        <v>58</v>
      </c>
      <c r="R19" s="5"/>
      <c r="S19" s="5" t="s">
        <v>59</v>
      </c>
      <c r="T19" s="5" t="s">
        <v>31</v>
      </c>
    </row>
    <row r="20" spans="1:20" ht="47.25" x14ac:dyDescent="0.25">
      <c r="A20" s="2" t="str">
        <f>HYPERLINK("https://smarttender.biz/publichni-zakupivli-prozorro/8719419","5131090")</f>
        <v>5131090</v>
      </c>
      <c r="B20" s="2" t="str">
        <f>HYPERLINK("https://prozorro.gov.ua/tender/UA-2020-01-23-004798-a","UA-2020-01-23-004798-a")</f>
        <v>UA-2020-01-23-004798-a</v>
      </c>
      <c r="C20" s="3">
        <v>43853</v>
      </c>
      <c r="D20" s="3">
        <v>43859</v>
      </c>
      <c r="E20" s="5" t="s">
        <v>32</v>
      </c>
      <c r="F20" s="5" t="s">
        <v>22</v>
      </c>
      <c r="G20" s="5" t="s">
        <v>23</v>
      </c>
      <c r="H20" s="5" t="s">
        <v>24</v>
      </c>
      <c r="I20" s="5" t="s">
        <v>25</v>
      </c>
      <c r="J20" s="5" t="s">
        <v>60</v>
      </c>
      <c r="K20" s="5" t="s">
        <v>61</v>
      </c>
      <c r="L20" s="6">
        <v>33730.5</v>
      </c>
      <c r="M20" s="5"/>
      <c r="N20" s="5" t="s">
        <v>28</v>
      </c>
      <c r="O20" s="4">
        <v>43859.476793981499</v>
      </c>
      <c r="P20" s="6">
        <v>1975</v>
      </c>
      <c r="Q20" s="5" t="s">
        <v>29</v>
      </c>
      <c r="R20" s="5"/>
      <c r="S20" s="5" t="s">
        <v>52</v>
      </c>
      <c r="T20" s="5" t="s">
        <v>31</v>
      </c>
    </row>
    <row r="21" spans="1:20" ht="47.25" x14ac:dyDescent="0.25">
      <c r="A21" s="2" t="str">
        <f>HYPERLINK("https://smarttender.biz/publichni-zakupivli-prozorro/8786446","5168292")</f>
        <v>5168292</v>
      </c>
      <c r="B21" s="2" t="str">
        <f>HYPERLINK("https://prozorro.gov.ua/tender/UA-2020-01-29-001382-b","UA-2020-01-29-001382-b")</f>
        <v>UA-2020-01-29-001382-b</v>
      </c>
      <c r="C21" s="3">
        <v>43859</v>
      </c>
      <c r="D21" s="4">
        <v>43864.416666666701</v>
      </c>
      <c r="E21" s="5" t="s">
        <v>36</v>
      </c>
      <c r="F21" s="5" t="s">
        <v>22</v>
      </c>
      <c r="G21" s="5" t="s">
        <v>23</v>
      </c>
      <c r="H21" s="5" t="s">
        <v>24</v>
      </c>
      <c r="I21" s="5" t="s">
        <v>25</v>
      </c>
      <c r="J21" s="5" t="s">
        <v>60</v>
      </c>
      <c r="K21" s="5" t="s">
        <v>61</v>
      </c>
      <c r="L21" s="6">
        <v>33730.5</v>
      </c>
      <c r="M21" s="5"/>
      <c r="N21" s="5" t="s">
        <v>28</v>
      </c>
      <c r="O21" s="5"/>
      <c r="P21" s="6">
        <v>1975</v>
      </c>
      <c r="Q21" s="5" t="s">
        <v>29</v>
      </c>
      <c r="R21" s="5"/>
      <c r="S21" s="5" t="s">
        <v>52</v>
      </c>
      <c r="T21" s="5" t="s">
        <v>31</v>
      </c>
    </row>
    <row r="22" spans="1:20" ht="47.25" x14ac:dyDescent="0.25">
      <c r="A22" s="2" t="str">
        <f>HYPERLINK("https://smarttender.biz/publichni-zakupivli-prozorro/8897047","5230314")</f>
        <v>5230314</v>
      </c>
      <c r="B22" s="2" t="str">
        <f>HYPERLINK("https://prozorro.gov.ua/tender/UA-2020-02-06-002609-b","UA-2020-02-06-002609-b")</f>
        <v>UA-2020-02-06-002609-b</v>
      </c>
      <c r="C22" s="3">
        <v>43867</v>
      </c>
      <c r="D22" s="3">
        <v>43872</v>
      </c>
      <c r="E22" s="5" t="s">
        <v>36</v>
      </c>
      <c r="F22" s="5" t="s">
        <v>22</v>
      </c>
      <c r="G22" s="5" t="s">
        <v>23</v>
      </c>
      <c r="H22" s="5" t="s">
        <v>24</v>
      </c>
      <c r="I22" s="5" t="s">
        <v>25</v>
      </c>
      <c r="J22" s="5" t="s">
        <v>62</v>
      </c>
      <c r="K22" s="5" t="s">
        <v>63</v>
      </c>
      <c r="L22" s="6">
        <v>36556</v>
      </c>
      <c r="M22" s="5"/>
      <c r="N22" s="5" t="s">
        <v>64</v>
      </c>
      <c r="O22" s="5"/>
      <c r="P22" s="6">
        <v>1000</v>
      </c>
      <c r="Q22" s="5" t="s">
        <v>29</v>
      </c>
      <c r="R22" s="5"/>
      <c r="S22" s="5" t="s">
        <v>52</v>
      </c>
      <c r="T22" s="5" t="s">
        <v>31</v>
      </c>
    </row>
    <row r="23" spans="1:20" ht="47.25" x14ac:dyDescent="0.25">
      <c r="A23" s="2" t="str">
        <f>HYPERLINK("https://smarttender.biz/publichni-zakupivli-prozorro/9146803","5374413")</f>
        <v>5374413</v>
      </c>
      <c r="B23" s="2" t="str">
        <f>HYPERLINK("https://prozorro.gov.ua/tender/UA-2020-03-02-003770-a","UA-2020-03-02-003770-a")</f>
        <v>UA-2020-03-02-003770-a</v>
      </c>
      <c r="C23" s="3">
        <v>43892</v>
      </c>
      <c r="D23" s="3">
        <v>43895</v>
      </c>
      <c r="E23" s="5" t="s">
        <v>36</v>
      </c>
      <c r="F23" s="5" t="s">
        <v>22</v>
      </c>
      <c r="G23" s="5" t="s">
        <v>23</v>
      </c>
      <c r="H23" s="5" t="s">
        <v>24</v>
      </c>
      <c r="I23" s="5" t="s">
        <v>25</v>
      </c>
      <c r="J23" s="5" t="s">
        <v>42</v>
      </c>
      <c r="K23" s="5" t="s">
        <v>65</v>
      </c>
      <c r="L23" s="6">
        <v>43810</v>
      </c>
      <c r="M23" s="5"/>
      <c r="N23" s="5" t="s">
        <v>28</v>
      </c>
      <c r="O23" s="4">
        <v>43895.590462963002</v>
      </c>
      <c r="P23" s="6">
        <v>3150</v>
      </c>
      <c r="Q23" s="5" t="s">
        <v>29</v>
      </c>
      <c r="R23" s="5"/>
      <c r="S23" s="5" t="s">
        <v>52</v>
      </c>
      <c r="T23" s="5" t="s">
        <v>31</v>
      </c>
    </row>
    <row r="24" spans="1:20" ht="47.25" x14ac:dyDescent="0.25">
      <c r="A24" s="2" t="str">
        <f>HYPERLINK("https://smarttender.biz/publichni-zakupivli-prozorro/9148270","5375269")</f>
        <v>5375269</v>
      </c>
      <c r="B24" s="2" t="str">
        <f>HYPERLINK("https://prozorro.gov.ua/tender/UA-2020-03-02-004344-a","UA-2020-03-02-004344-a")</f>
        <v>UA-2020-03-02-004344-a</v>
      </c>
      <c r="C24" s="3">
        <v>43892</v>
      </c>
      <c r="D24" s="3">
        <v>43901</v>
      </c>
      <c r="E24" s="5" t="s">
        <v>36</v>
      </c>
      <c r="F24" s="5" t="s">
        <v>22</v>
      </c>
      <c r="G24" s="5" t="s">
        <v>23</v>
      </c>
      <c r="H24" s="5" t="s">
        <v>24</v>
      </c>
      <c r="I24" s="5" t="s">
        <v>25</v>
      </c>
      <c r="J24" s="5" t="s">
        <v>50</v>
      </c>
      <c r="K24" s="5" t="s">
        <v>51</v>
      </c>
      <c r="L24" s="6">
        <v>73670</v>
      </c>
      <c r="M24" s="5"/>
      <c r="N24" s="5" t="s">
        <v>28</v>
      </c>
      <c r="O24" s="4">
        <v>43901.498541666697</v>
      </c>
      <c r="P24" s="6">
        <v>5300</v>
      </c>
      <c r="Q24" s="5" t="s">
        <v>29</v>
      </c>
      <c r="R24" s="5"/>
      <c r="S24" s="5" t="s">
        <v>52</v>
      </c>
      <c r="T24" s="5" t="s">
        <v>31</v>
      </c>
    </row>
    <row r="25" spans="1:20" ht="47.25" x14ac:dyDescent="0.25">
      <c r="A25" s="2" t="str">
        <f>HYPERLINK("https://smarttender.biz/publichni-zakupivli-prozorro/12818052","7500265")</f>
        <v>7500265</v>
      </c>
      <c r="B25" s="2" t="str">
        <f>HYPERLINK("https://prozorro.gov.ua/tender/UA-2020-10-02-006695-a","UA-2020-10-02-006695-a")</f>
        <v>UA-2020-10-02-006695-a</v>
      </c>
      <c r="C25" s="3">
        <v>44106</v>
      </c>
      <c r="D25" s="3">
        <v>44117</v>
      </c>
      <c r="E25" s="5" t="s">
        <v>32</v>
      </c>
      <c r="F25" s="5" t="s">
        <v>22</v>
      </c>
      <c r="G25" s="5" t="s">
        <v>23</v>
      </c>
      <c r="H25" s="5" t="s">
        <v>24</v>
      </c>
      <c r="I25" s="5" t="s">
        <v>25</v>
      </c>
      <c r="J25" s="5" t="s">
        <v>66</v>
      </c>
      <c r="K25" s="5" t="s">
        <v>67</v>
      </c>
      <c r="L25" s="6">
        <v>85176</v>
      </c>
      <c r="M25" s="5"/>
      <c r="N25" s="5" t="s">
        <v>28</v>
      </c>
      <c r="O25" s="4">
        <v>44117.643113425896</v>
      </c>
      <c r="P25" s="6">
        <v>3042</v>
      </c>
      <c r="Q25" s="5" t="s">
        <v>68</v>
      </c>
      <c r="R25" s="5"/>
      <c r="S25" s="5" t="s">
        <v>52</v>
      </c>
      <c r="T25" s="5" t="s">
        <v>31</v>
      </c>
    </row>
    <row r="26" spans="1:20" ht="47.25" x14ac:dyDescent="0.25">
      <c r="A26" s="2" t="str">
        <f>HYPERLINK("https://smarttender.biz/publichni-zakupivli-prozorro/13194195","7720734")</f>
        <v>7720734</v>
      </c>
      <c r="B26" s="2" t="str">
        <f>HYPERLINK("https://prozorro.gov.ua/tender/UA-2020-10-19-005005-c","UA-2020-10-19-005005-c")</f>
        <v>UA-2020-10-19-005005-c</v>
      </c>
      <c r="C26" s="3">
        <v>44123</v>
      </c>
      <c r="D26" s="3">
        <v>44132</v>
      </c>
      <c r="E26" s="5" t="s">
        <v>32</v>
      </c>
      <c r="F26" s="5" t="s">
        <v>22</v>
      </c>
      <c r="G26" s="5" t="s">
        <v>23</v>
      </c>
      <c r="H26" s="5" t="s">
        <v>24</v>
      </c>
      <c r="I26" s="5" t="s">
        <v>25</v>
      </c>
      <c r="J26" s="5" t="s">
        <v>66</v>
      </c>
      <c r="K26" s="5" t="s">
        <v>67</v>
      </c>
      <c r="L26" s="6">
        <v>86784</v>
      </c>
      <c r="M26" s="5"/>
      <c r="N26" s="5" t="s">
        <v>28</v>
      </c>
      <c r="O26" s="4">
        <v>44132.542314814797</v>
      </c>
      <c r="P26" s="6">
        <v>5424</v>
      </c>
      <c r="Q26" s="5" t="s">
        <v>68</v>
      </c>
      <c r="R26" s="5"/>
      <c r="S26" s="5" t="s">
        <v>52</v>
      </c>
      <c r="T26" s="5" t="s">
        <v>31</v>
      </c>
    </row>
    <row r="27" spans="1:20" ht="47.25" x14ac:dyDescent="0.25">
      <c r="A27" s="2" t="str">
        <f>HYPERLINK("https://smarttender.biz/publichni-zakupivli-prozorro/13958237","8172016")</f>
        <v>8172016</v>
      </c>
      <c r="B27" s="2" t="str">
        <f>HYPERLINK("https://prozorro.gov.ua/tender/UA-2020-11-13-012916-c","UA-2020-11-13-012916-c")</f>
        <v>UA-2020-11-13-012916-c</v>
      </c>
      <c r="C27" s="3">
        <v>44148</v>
      </c>
      <c r="D27" s="3">
        <v>44159</v>
      </c>
      <c r="E27" s="5" t="s">
        <v>32</v>
      </c>
      <c r="F27" s="5" t="s">
        <v>22</v>
      </c>
      <c r="G27" s="5" t="s">
        <v>23</v>
      </c>
      <c r="H27" s="5" t="s">
        <v>24</v>
      </c>
      <c r="I27" s="5" t="s">
        <v>25</v>
      </c>
      <c r="J27" s="5" t="s">
        <v>66</v>
      </c>
      <c r="K27" s="5" t="s">
        <v>67</v>
      </c>
      <c r="L27" s="6">
        <v>86784</v>
      </c>
      <c r="M27" s="5"/>
      <c r="N27" s="5" t="s">
        <v>28</v>
      </c>
      <c r="O27" s="4">
        <v>44160.5387962963</v>
      </c>
      <c r="P27" s="6">
        <v>5424</v>
      </c>
      <c r="Q27" s="5" t="s">
        <v>69</v>
      </c>
      <c r="R27" s="5"/>
      <c r="S27" s="5" t="s">
        <v>70</v>
      </c>
      <c r="T27" s="5" t="s">
        <v>31</v>
      </c>
    </row>
    <row r="28" spans="1:20" ht="47.25" x14ac:dyDescent="0.25">
      <c r="A28" s="2" t="str">
        <f>HYPERLINK("https://smarttender.biz/publichni-zakupivli-prozorro/15173281","8545422")</f>
        <v>8545422</v>
      </c>
      <c r="B28" s="2" t="str">
        <f>HYPERLINK("https://prozorro.gov.ua/tender/UA-2020-12-04-015877-b","UA-2020-12-04-015877-b")</f>
        <v>UA-2020-12-04-015877-b</v>
      </c>
      <c r="C28" s="3">
        <v>44169</v>
      </c>
      <c r="D28" s="3">
        <v>44180</v>
      </c>
      <c r="E28" s="5" t="s">
        <v>36</v>
      </c>
      <c r="F28" s="5" t="s">
        <v>22</v>
      </c>
      <c r="G28" s="5" t="s">
        <v>23</v>
      </c>
      <c r="H28" s="5" t="s">
        <v>24</v>
      </c>
      <c r="I28" s="5" t="s">
        <v>25</v>
      </c>
      <c r="J28" s="5" t="s">
        <v>66</v>
      </c>
      <c r="K28" s="5" t="s">
        <v>67</v>
      </c>
      <c r="L28" s="6">
        <v>86784</v>
      </c>
      <c r="M28" s="5"/>
      <c r="N28" s="5" t="s">
        <v>28</v>
      </c>
      <c r="O28" s="4">
        <v>44182.660428240699</v>
      </c>
      <c r="P28" s="6">
        <v>5424</v>
      </c>
      <c r="Q28" s="5" t="s">
        <v>69</v>
      </c>
      <c r="R28" s="5"/>
      <c r="S28" s="5" t="s">
        <v>52</v>
      </c>
      <c r="T28" s="5" t="s">
        <v>31</v>
      </c>
    </row>
    <row r="29" spans="1:20" ht="47.25" x14ac:dyDescent="0.25">
      <c r="A29" s="2" t="str">
        <f>HYPERLINK("https://smarttender.biz/publichni-zakupivli-prozorro/15391845","8660239")</f>
        <v>8660239</v>
      </c>
      <c r="B29" s="2" t="str">
        <f>HYPERLINK("https://prozorro.gov.ua/tender/UA-2020-12-10-013929-c","UA-2020-12-10-013929-c")</f>
        <v>UA-2020-12-10-013929-c</v>
      </c>
      <c r="C29" s="3">
        <v>44175</v>
      </c>
      <c r="D29" s="3">
        <v>44193</v>
      </c>
      <c r="E29" s="5" t="s">
        <v>71</v>
      </c>
      <c r="F29" s="5" t="s">
        <v>22</v>
      </c>
      <c r="G29" s="5" t="s">
        <v>23</v>
      </c>
      <c r="H29" s="5" t="s">
        <v>24</v>
      </c>
      <c r="I29" s="5" t="s">
        <v>39</v>
      </c>
      <c r="J29" s="5" t="s">
        <v>45</v>
      </c>
      <c r="K29" s="5" t="s">
        <v>72</v>
      </c>
      <c r="L29" s="6">
        <v>254400</v>
      </c>
      <c r="M29" s="5"/>
      <c r="N29" s="5" t="s">
        <v>28</v>
      </c>
      <c r="O29" s="4">
        <v>44193.4672685185</v>
      </c>
      <c r="P29" s="6">
        <v>10600</v>
      </c>
      <c r="Q29" s="5" t="s">
        <v>73</v>
      </c>
      <c r="R29" s="5"/>
      <c r="S29" s="5" t="s">
        <v>30</v>
      </c>
      <c r="T29" s="5" t="s">
        <v>31</v>
      </c>
    </row>
    <row r="30" spans="1:20" ht="47.25" x14ac:dyDescent="0.25">
      <c r="A30" s="2" t="str">
        <f>HYPERLINK("https://smarttender.biz/publichni-zakupivli-prozorro/15682103","8811324")</f>
        <v>8811324</v>
      </c>
      <c r="B30" s="2" t="str">
        <f>HYPERLINK("https://prozorro.gov.ua/tender/UA-2020-12-17-007330-c","UA-2020-12-17-007330-c")</f>
        <v>UA-2020-12-17-007330-c</v>
      </c>
      <c r="C30" s="3">
        <v>44182</v>
      </c>
      <c r="D30" s="3">
        <v>44194</v>
      </c>
      <c r="E30" s="5" t="s">
        <v>36</v>
      </c>
      <c r="F30" s="5" t="s">
        <v>22</v>
      </c>
      <c r="G30" s="5" t="s">
        <v>23</v>
      </c>
      <c r="H30" s="5" t="s">
        <v>24</v>
      </c>
      <c r="I30" s="5" t="s">
        <v>25</v>
      </c>
      <c r="J30" s="5" t="s">
        <v>74</v>
      </c>
      <c r="K30" s="5" t="s">
        <v>75</v>
      </c>
      <c r="L30" s="6">
        <v>174120</v>
      </c>
      <c r="M30" s="5"/>
      <c r="N30" s="5" t="s">
        <v>28</v>
      </c>
      <c r="O30" s="5"/>
      <c r="P30" s="6">
        <v>1500</v>
      </c>
      <c r="Q30" s="5" t="s">
        <v>29</v>
      </c>
      <c r="R30" s="5"/>
      <c r="S30" s="5" t="s">
        <v>30</v>
      </c>
      <c r="T30" s="5" t="s">
        <v>31</v>
      </c>
    </row>
    <row r="31" spans="1:20" ht="47.25" x14ac:dyDescent="0.25">
      <c r="A31" s="2" t="str">
        <f>HYPERLINK("https://smarttender.biz/publichni-zakupivli-prozorro/15682110","8811326")</f>
        <v>8811326</v>
      </c>
      <c r="B31" s="2" t="str">
        <f>HYPERLINK("https://prozorro.gov.ua/tender/UA-2020-12-17-007518-c","UA-2020-12-17-007518-c")</f>
        <v>UA-2020-12-17-007518-c</v>
      </c>
      <c r="C31" s="3">
        <v>44182</v>
      </c>
      <c r="D31" s="3">
        <v>44194</v>
      </c>
      <c r="E31" s="5" t="s">
        <v>36</v>
      </c>
      <c r="F31" s="5" t="s">
        <v>22</v>
      </c>
      <c r="G31" s="5" t="s">
        <v>23</v>
      </c>
      <c r="H31" s="5" t="s">
        <v>24</v>
      </c>
      <c r="I31" s="5" t="s">
        <v>25</v>
      </c>
      <c r="J31" s="5" t="s">
        <v>56</v>
      </c>
      <c r="K31" s="5" t="s">
        <v>57</v>
      </c>
      <c r="L31" s="6">
        <v>118118.25</v>
      </c>
      <c r="M31" s="5"/>
      <c r="N31" s="5" t="s">
        <v>28</v>
      </c>
      <c r="O31" s="5"/>
      <c r="P31" s="6">
        <v>52497</v>
      </c>
      <c r="Q31" s="5" t="s">
        <v>58</v>
      </c>
      <c r="R31" s="5"/>
      <c r="S31" s="5" t="s">
        <v>59</v>
      </c>
      <c r="T31" s="5" t="s">
        <v>31</v>
      </c>
    </row>
    <row r="32" spans="1:20" ht="47.25" x14ac:dyDescent="0.25">
      <c r="A32" s="2" t="str">
        <f>HYPERLINK("https://smarttender.biz/publichni-zakupivli-prozorro/15501185","8717106")</f>
        <v>8717106</v>
      </c>
      <c r="B32" s="2" t="str">
        <f>HYPERLINK("https://prozorro.gov.ua/tender/UA-2020-12-14-007758-c","UA-2020-12-14-007758-c")</f>
        <v>UA-2020-12-14-007758-c</v>
      </c>
      <c r="C32" s="3">
        <v>44179</v>
      </c>
      <c r="D32" s="3">
        <v>44195</v>
      </c>
      <c r="E32" s="5" t="s">
        <v>36</v>
      </c>
      <c r="F32" s="5" t="s">
        <v>22</v>
      </c>
      <c r="G32" s="5" t="s">
        <v>23</v>
      </c>
      <c r="H32" s="5" t="s">
        <v>24</v>
      </c>
      <c r="I32" s="5" t="s">
        <v>39</v>
      </c>
      <c r="J32" s="5" t="s">
        <v>40</v>
      </c>
      <c r="K32" s="5" t="s">
        <v>76</v>
      </c>
      <c r="L32" s="6">
        <v>339508</v>
      </c>
      <c r="M32" s="5"/>
      <c r="N32" s="5" t="s">
        <v>28</v>
      </c>
      <c r="O32" s="4">
        <v>44195.513124999998</v>
      </c>
      <c r="P32" s="6">
        <v>2570</v>
      </c>
      <c r="Q32" s="5" t="s">
        <v>29</v>
      </c>
      <c r="R32" s="5"/>
      <c r="S32" s="5" t="s">
        <v>30</v>
      </c>
      <c r="T32" s="5" t="s">
        <v>31</v>
      </c>
    </row>
    <row r="33" spans="1:20" ht="47.25" x14ac:dyDescent="0.25">
      <c r="A33" s="2" t="str">
        <f>HYPERLINK("https://smarttender.biz/publichni-zakupivli-prozorro/15945052","8964720")</f>
        <v>8964720</v>
      </c>
      <c r="B33" s="2" t="str">
        <f>HYPERLINK("https://prozorro.gov.ua/tender/UA-2020-12-23-006024-c","UA-2020-12-23-006024-c")</f>
        <v>UA-2020-12-23-006024-c</v>
      </c>
      <c r="C33" s="3">
        <v>44188</v>
      </c>
      <c r="D33" s="3">
        <v>44201</v>
      </c>
      <c r="E33" s="5" t="s">
        <v>36</v>
      </c>
      <c r="F33" s="5" t="s">
        <v>22</v>
      </c>
      <c r="G33" s="5" t="s">
        <v>23</v>
      </c>
      <c r="H33" s="5" t="s">
        <v>24</v>
      </c>
      <c r="I33" s="5" t="s">
        <v>25</v>
      </c>
      <c r="J33" s="5" t="s">
        <v>48</v>
      </c>
      <c r="K33" s="5" t="s">
        <v>77</v>
      </c>
      <c r="L33" s="6">
        <v>71756</v>
      </c>
      <c r="M33" s="5"/>
      <c r="N33" s="5" t="s">
        <v>28</v>
      </c>
      <c r="O33" s="5"/>
      <c r="P33" s="6">
        <v>3330</v>
      </c>
      <c r="Q33" s="5" t="s">
        <v>29</v>
      </c>
      <c r="R33" s="5"/>
      <c r="S33" s="5" t="s">
        <v>30</v>
      </c>
      <c r="T33" s="5" t="s">
        <v>31</v>
      </c>
    </row>
    <row r="34" spans="1:20" ht="47.25" x14ac:dyDescent="0.25">
      <c r="A34" s="2" t="str">
        <f>HYPERLINK("https://smarttender.biz/publichni-zakupivli-prozorro/16019965","9003172")</f>
        <v>9003172</v>
      </c>
      <c r="B34" s="2" t="str">
        <f>HYPERLINK("https://prozorro.gov.ua/tender/UA-2020-12-24-006801-c","UA-2020-12-24-006801-c")</f>
        <v>UA-2020-12-24-006801-c</v>
      </c>
      <c r="C34" s="3">
        <v>44189</v>
      </c>
      <c r="D34" s="3">
        <v>44202</v>
      </c>
      <c r="E34" s="5" t="s">
        <v>36</v>
      </c>
      <c r="F34" s="5" t="s">
        <v>22</v>
      </c>
      <c r="G34" s="5" t="s">
        <v>23</v>
      </c>
      <c r="H34" s="5" t="s">
        <v>24</v>
      </c>
      <c r="I34" s="5" t="s">
        <v>25</v>
      </c>
      <c r="J34" s="5" t="s">
        <v>78</v>
      </c>
      <c r="K34" s="5" t="s">
        <v>79</v>
      </c>
      <c r="L34" s="6">
        <v>86020</v>
      </c>
      <c r="M34" s="5"/>
      <c r="N34" s="5" t="s">
        <v>28</v>
      </c>
      <c r="O34" s="5"/>
      <c r="P34" s="6">
        <v>1100</v>
      </c>
      <c r="Q34" s="5" t="s">
        <v>29</v>
      </c>
      <c r="R34" s="5"/>
      <c r="S34" s="5" t="s">
        <v>30</v>
      </c>
      <c r="T34" s="5" t="s">
        <v>31</v>
      </c>
    </row>
    <row r="35" spans="1:20" ht="47.25" x14ac:dyDescent="0.25">
      <c r="A35" s="2" t="str">
        <f>HYPERLINK("https://smarttender.biz/publichni-zakupivli-prozorro/16232331","9112579")</f>
        <v>9112579</v>
      </c>
      <c r="B35" s="2" t="str">
        <f>HYPERLINK("https://prozorro.gov.ua/tender/UA-2021-01-04-002501-c","UA-2021-01-04-002501-c")</f>
        <v>UA-2021-01-04-002501-c</v>
      </c>
      <c r="C35" s="3">
        <v>44200</v>
      </c>
      <c r="D35" s="3">
        <v>44211</v>
      </c>
      <c r="E35" s="5" t="s">
        <v>32</v>
      </c>
      <c r="F35" s="5" t="s">
        <v>22</v>
      </c>
      <c r="G35" s="5" t="s">
        <v>23</v>
      </c>
      <c r="H35" s="5" t="s">
        <v>24</v>
      </c>
      <c r="I35" s="5" t="s">
        <v>25</v>
      </c>
      <c r="J35" s="5" t="s">
        <v>26</v>
      </c>
      <c r="K35" s="5" t="s">
        <v>27</v>
      </c>
      <c r="L35" s="6">
        <v>95400</v>
      </c>
      <c r="M35" s="5"/>
      <c r="N35" s="5" t="s">
        <v>28</v>
      </c>
      <c r="O35" s="5"/>
      <c r="P35" s="6">
        <v>530</v>
      </c>
      <c r="Q35" s="5" t="s">
        <v>29</v>
      </c>
      <c r="R35" s="5"/>
      <c r="S35" s="5" t="s">
        <v>30</v>
      </c>
      <c r="T35" s="5" t="s">
        <v>31</v>
      </c>
    </row>
    <row r="36" spans="1:20" ht="47.25" x14ac:dyDescent="0.25">
      <c r="A36" s="2" t="str">
        <f>HYPERLINK("https://smarttender.biz/publichni-zakupivli-prozorro/16237090","9115199")</f>
        <v>9115199</v>
      </c>
      <c r="B36" s="2" t="str">
        <f>HYPERLINK("https://prozorro.gov.ua/tender/UA-2021-01-05-000487-c","UA-2021-01-05-000487-c")</f>
        <v>UA-2021-01-05-000487-c</v>
      </c>
      <c r="C36" s="3">
        <v>44201</v>
      </c>
      <c r="D36" s="3">
        <v>44214</v>
      </c>
      <c r="E36" s="5" t="s">
        <v>80</v>
      </c>
      <c r="F36" s="5" t="s">
        <v>22</v>
      </c>
      <c r="G36" s="5" t="s">
        <v>23</v>
      </c>
      <c r="H36" s="5" t="s">
        <v>24</v>
      </c>
      <c r="I36" s="5" t="s">
        <v>25</v>
      </c>
      <c r="J36" s="5" t="s">
        <v>26</v>
      </c>
      <c r="K36" s="5" t="s">
        <v>27</v>
      </c>
      <c r="L36" s="6">
        <v>95400</v>
      </c>
      <c r="M36" s="5"/>
      <c r="N36" s="5" t="s">
        <v>28</v>
      </c>
      <c r="O36" s="4">
        <v>44215.588217592602</v>
      </c>
      <c r="P36" s="6">
        <v>530</v>
      </c>
      <c r="Q36" s="5" t="s">
        <v>29</v>
      </c>
      <c r="R36" s="5"/>
      <c r="S36" s="5" t="s">
        <v>30</v>
      </c>
      <c r="T36" s="5" t="s">
        <v>31</v>
      </c>
    </row>
    <row r="37" spans="1:20" ht="47.25" x14ac:dyDescent="0.25">
      <c r="A37" s="2" t="str">
        <f>HYPERLINK("https://smarttender.biz/publichni-zakupivli-prozorro/10238553","5990444")</f>
        <v>5990444</v>
      </c>
      <c r="B37" s="2" t="str">
        <f>HYPERLINK("https://prozorro.gov.ua/tender/UA-2020-06-01-008448-b","UA-2020-06-01-008448-b")</f>
        <v>UA-2020-06-01-008448-b</v>
      </c>
      <c r="C37" s="3">
        <v>43983</v>
      </c>
      <c r="D37" s="5"/>
      <c r="E37" s="5" t="s">
        <v>36</v>
      </c>
      <c r="F37" s="5" t="s">
        <v>22</v>
      </c>
      <c r="G37" s="5" t="s">
        <v>23</v>
      </c>
      <c r="H37" s="5" t="s">
        <v>24</v>
      </c>
      <c r="I37" s="5" t="s">
        <v>81</v>
      </c>
      <c r="J37" s="5" t="s">
        <v>82</v>
      </c>
      <c r="K37" s="5" t="s">
        <v>83</v>
      </c>
      <c r="L37" s="6">
        <v>488</v>
      </c>
      <c r="M37" s="5"/>
      <c r="N37" s="5" t="s">
        <v>64</v>
      </c>
      <c r="O37" s="5"/>
      <c r="P37" s="6">
        <v>1</v>
      </c>
      <c r="Q37" s="5" t="s">
        <v>84</v>
      </c>
      <c r="R37" s="5"/>
      <c r="S37" s="5" t="s">
        <v>52</v>
      </c>
      <c r="T37" s="5" t="s">
        <v>31</v>
      </c>
    </row>
    <row r="38" spans="1:20" ht="47.25" x14ac:dyDescent="0.25">
      <c r="A38" s="2" t="str">
        <f>HYPERLINK("https://smarttender.biz/publichni-zakupivli-prozorro/10250682","5997272")</f>
        <v>5997272</v>
      </c>
      <c r="B38" s="2" t="str">
        <f>HYPERLINK("https://prozorro.gov.ua/tender/UA-2020-06-02-004116-b","UA-2020-06-02-004116-b")</f>
        <v>UA-2020-06-02-004116-b</v>
      </c>
      <c r="C38" s="3">
        <v>43984</v>
      </c>
      <c r="D38" s="5"/>
      <c r="E38" s="5" t="s">
        <v>36</v>
      </c>
      <c r="F38" s="5" t="s">
        <v>22</v>
      </c>
      <c r="G38" s="5" t="s">
        <v>23</v>
      </c>
      <c r="H38" s="5" t="s">
        <v>24</v>
      </c>
      <c r="I38" s="5" t="s">
        <v>81</v>
      </c>
      <c r="J38" s="5" t="s">
        <v>85</v>
      </c>
      <c r="K38" s="5" t="s">
        <v>86</v>
      </c>
      <c r="L38" s="6">
        <v>5921.16</v>
      </c>
      <c r="M38" s="5"/>
      <c r="N38" s="5" t="s">
        <v>28</v>
      </c>
      <c r="O38" s="5"/>
      <c r="P38" s="6">
        <v>266</v>
      </c>
      <c r="Q38" s="5" t="s">
        <v>84</v>
      </c>
      <c r="R38" s="5"/>
      <c r="S38" s="5" t="s">
        <v>87</v>
      </c>
      <c r="T38" s="5" t="s">
        <v>31</v>
      </c>
    </row>
    <row r="39" spans="1:20" ht="47.25" x14ac:dyDescent="0.25">
      <c r="A39" s="2" t="str">
        <f>HYPERLINK("https://smarttender.biz/publichni-zakupivli-prozorro/10250895","5997371")</f>
        <v>5997371</v>
      </c>
      <c r="B39" s="2" t="str">
        <f>HYPERLINK("https://prozorro.gov.ua/tender/UA-2020-06-02-004176-b","UA-2020-06-02-004176-b")</f>
        <v>UA-2020-06-02-004176-b</v>
      </c>
      <c r="C39" s="3">
        <v>43984</v>
      </c>
      <c r="D39" s="5"/>
      <c r="E39" s="5" t="s">
        <v>36</v>
      </c>
      <c r="F39" s="5" t="s">
        <v>22</v>
      </c>
      <c r="G39" s="5" t="s">
        <v>23</v>
      </c>
      <c r="H39" s="5" t="s">
        <v>24</v>
      </c>
      <c r="I39" s="5" t="s">
        <v>81</v>
      </c>
      <c r="J39" s="5" t="s">
        <v>66</v>
      </c>
      <c r="K39" s="5" t="s">
        <v>88</v>
      </c>
      <c r="L39" s="6">
        <v>12959.46</v>
      </c>
      <c r="M39" s="5"/>
      <c r="N39" s="5" t="s">
        <v>28</v>
      </c>
      <c r="O39" s="5"/>
      <c r="P39" s="6">
        <v>927</v>
      </c>
      <c r="Q39" s="5" t="s">
        <v>84</v>
      </c>
      <c r="R39" s="5"/>
      <c r="S39" s="5" t="s">
        <v>87</v>
      </c>
      <c r="T39" s="5" t="s">
        <v>31</v>
      </c>
    </row>
    <row r="40" spans="1:20" ht="47.25" x14ac:dyDescent="0.25">
      <c r="A40" s="2" t="str">
        <f>HYPERLINK("https://smarttender.biz/publichni-zakupivli-prozorro/10239150","5990784")</f>
        <v>5990784</v>
      </c>
      <c r="B40" s="2" t="str">
        <f>HYPERLINK("https://prozorro.gov.ua/tender/UA-2020-06-01-008647-b","UA-2020-06-01-008647-b")</f>
        <v>UA-2020-06-01-008647-b</v>
      </c>
      <c r="C40" s="3">
        <v>43983</v>
      </c>
      <c r="D40" s="5"/>
      <c r="E40" s="5" t="s">
        <v>36</v>
      </c>
      <c r="F40" s="5" t="s">
        <v>22</v>
      </c>
      <c r="G40" s="5" t="s">
        <v>23</v>
      </c>
      <c r="H40" s="5" t="s">
        <v>24</v>
      </c>
      <c r="I40" s="5" t="s">
        <v>81</v>
      </c>
      <c r="J40" s="5" t="s">
        <v>89</v>
      </c>
      <c r="K40" s="5" t="s">
        <v>90</v>
      </c>
      <c r="L40" s="6">
        <v>1575</v>
      </c>
      <c r="M40" s="5"/>
      <c r="N40" s="5" t="s">
        <v>64</v>
      </c>
      <c r="O40" s="5"/>
      <c r="P40" s="6">
        <v>1</v>
      </c>
      <c r="Q40" s="5" t="s">
        <v>84</v>
      </c>
      <c r="R40" s="5"/>
      <c r="S40" s="5" t="s">
        <v>52</v>
      </c>
      <c r="T40" s="5" t="s">
        <v>31</v>
      </c>
    </row>
    <row r="41" spans="1:20" ht="47.25" x14ac:dyDescent="0.25">
      <c r="A41" s="2" t="str">
        <f>HYPERLINK("https://smarttender.biz/publichni-zakupivli-prozorro/10248894","5996300")</f>
        <v>5996300</v>
      </c>
      <c r="B41" s="2" t="str">
        <f>HYPERLINK("https://prozorro.gov.ua/tender/UA-2020-06-02-003424-b","UA-2020-06-02-003424-b")</f>
        <v>UA-2020-06-02-003424-b</v>
      </c>
      <c r="C41" s="3">
        <v>43984</v>
      </c>
      <c r="D41" s="5"/>
      <c r="E41" s="5" t="s">
        <v>36</v>
      </c>
      <c r="F41" s="5" t="s">
        <v>22</v>
      </c>
      <c r="G41" s="5" t="s">
        <v>23</v>
      </c>
      <c r="H41" s="5" t="s">
        <v>24</v>
      </c>
      <c r="I41" s="5" t="s">
        <v>81</v>
      </c>
      <c r="J41" s="5" t="s">
        <v>91</v>
      </c>
      <c r="K41" s="5" t="s">
        <v>92</v>
      </c>
      <c r="L41" s="6">
        <v>1400</v>
      </c>
      <c r="M41" s="5"/>
      <c r="N41" s="5" t="s">
        <v>64</v>
      </c>
      <c r="O41" s="5"/>
      <c r="P41" s="6">
        <v>1</v>
      </c>
      <c r="Q41" s="5" t="s">
        <v>84</v>
      </c>
      <c r="R41" s="5"/>
      <c r="S41" s="5" t="s">
        <v>52</v>
      </c>
      <c r="T41" s="5" t="s">
        <v>31</v>
      </c>
    </row>
    <row r="42" spans="1:20" ht="47.25" x14ac:dyDescent="0.25">
      <c r="A42" s="2" t="str">
        <f>HYPERLINK("https://smarttender.biz/publichni-zakupivli-prozorro/10272929","6009785")</f>
        <v>6009785</v>
      </c>
      <c r="B42" s="2" t="str">
        <f>HYPERLINK("https://prozorro.gov.ua/tender/UA-2020-06-03-001315-b","UA-2020-06-03-001315-b")</f>
        <v>UA-2020-06-03-001315-b</v>
      </c>
      <c r="C42" s="3">
        <v>43985</v>
      </c>
      <c r="D42" s="5"/>
      <c r="E42" s="5" t="s">
        <v>36</v>
      </c>
      <c r="F42" s="5" t="s">
        <v>22</v>
      </c>
      <c r="G42" s="5" t="s">
        <v>23</v>
      </c>
      <c r="H42" s="5" t="s">
        <v>24</v>
      </c>
      <c r="I42" s="5" t="s">
        <v>81</v>
      </c>
      <c r="J42" s="5" t="s">
        <v>93</v>
      </c>
      <c r="K42" s="5" t="s">
        <v>94</v>
      </c>
      <c r="L42" s="6">
        <v>11520</v>
      </c>
      <c r="M42" s="5"/>
      <c r="N42" s="5" t="s">
        <v>64</v>
      </c>
      <c r="O42" s="5"/>
      <c r="P42" s="6">
        <v>18</v>
      </c>
      <c r="Q42" s="5" t="s">
        <v>84</v>
      </c>
      <c r="R42" s="5"/>
      <c r="S42" s="5" t="s">
        <v>95</v>
      </c>
      <c r="T42" s="5" t="s">
        <v>96</v>
      </c>
    </row>
    <row r="43" spans="1:20" ht="47.25" x14ac:dyDescent="0.25">
      <c r="A43" s="2" t="str">
        <f>HYPERLINK("https://smarttender.biz/publichni-zakupivli-prozorro/10251735","5997807")</f>
        <v>5997807</v>
      </c>
      <c r="B43" s="2" t="str">
        <f>HYPERLINK("https://prozorro.gov.ua/tender/UA-2020-06-02-004472-b","UA-2020-06-02-004472-b")</f>
        <v>UA-2020-06-02-004472-b</v>
      </c>
      <c r="C43" s="3">
        <v>43984</v>
      </c>
      <c r="D43" s="5"/>
      <c r="E43" s="5" t="s">
        <v>36</v>
      </c>
      <c r="F43" s="5" t="s">
        <v>22</v>
      </c>
      <c r="G43" s="5" t="s">
        <v>23</v>
      </c>
      <c r="H43" s="5" t="s">
        <v>24</v>
      </c>
      <c r="I43" s="5" t="s">
        <v>81</v>
      </c>
      <c r="J43" s="5" t="s">
        <v>97</v>
      </c>
      <c r="K43" s="5" t="s">
        <v>98</v>
      </c>
      <c r="L43" s="6">
        <v>5320</v>
      </c>
      <c r="M43" s="5"/>
      <c r="N43" s="5" t="s">
        <v>64</v>
      </c>
      <c r="O43" s="5"/>
      <c r="P43" s="6">
        <v>19</v>
      </c>
      <c r="Q43" s="5" t="s">
        <v>84</v>
      </c>
      <c r="R43" s="5"/>
      <c r="S43" s="5" t="s">
        <v>95</v>
      </c>
      <c r="T43" s="5" t="s">
        <v>96</v>
      </c>
    </row>
    <row r="44" spans="1:20" ht="47.25" x14ac:dyDescent="0.25">
      <c r="A44" s="2" t="str">
        <f>HYPERLINK("https://smarttender.biz/publichni-zakupivli-prozorro/9376587","5503479")</f>
        <v>5503479</v>
      </c>
      <c r="B44" s="2" t="str">
        <f>HYPERLINK("https://prozorro.gov.ua/tender/UA-2020-03-23-004630-b","UA-2020-03-23-004630-b")</f>
        <v>UA-2020-03-23-004630-b</v>
      </c>
      <c r="C44" s="3">
        <v>43913</v>
      </c>
      <c r="D44" s="5"/>
      <c r="E44" s="5" t="s">
        <v>36</v>
      </c>
      <c r="F44" s="5" t="s">
        <v>22</v>
      </c>
      <c r="G44" s="5" t="s">
        <v>23</v>
      </c>
      <c r="H44" s="5" t="s">
        <v>24</v>
      </c>
      <c r="I44" s="5" t="s">
        <v>81</v>
      </c>
      <c r="J44" s="5" t="s">
        <v>42</v>
      </c>
      <c r="K44" s="5" t="s">
        <v>99</v>
      </c>
      <c r="L44" s="6">
        <v>8000</v>
      </c>
      <c r="M44" s="5"/>
      <c r="N44" s="5" t="s">
        <v>28</v>
      </c>
      <c r="O44" s="5"/>
      <c r="P44" s="6">
        <v>300</v>
      </c>
      <c r="Q44" s="5" t="s">
        <v>29</v>
      </c>
      <c r="R44" s="5"/>
      <c r="S44" s="5" t="s">
        <v>24</v>
      </c>
      <c r="T44" s="5" t="s">
        <v>24</v>
      </c>
    </row>
    <row r="45" spans="1:20" ht="47.25" x14ac:dyDescent="0.25">
      <c r="A45" s="2" t="str">
        <f>HYPERLINK("https://smarttender.biz/publichni-zakupivli-prozorro/8954375","5263770")</f>
        <v>5263770</v>
      </c>
      <c r="B45" s="2" t="str">
        <f>HYPERLINK("https://prozorro.gov.ua/tender/UA-2020-02-12-001472-b","UA-2020-02-12-001472-b")</f>
        <v>UA-2020-02-12-001472-b</v>
      </c>
      <c r="C45" s="3">
        <v>43873</v>
      </c>
      <c r="D45" s="5"/>
      <c r="E45" s="5" t="s">
        <v>36</v>
      </c>
      <c r="F45" s="5" t="s">
        <v>22</v>
      </c>
      <c r="G45" s="5" t="s">
        <v>23</v>
      </c>
      <c r="H45" s="5" t="s">
        <v>24</v>
      </c>
      <c r="I45" s="5" t="s">
        <v>81</v>
      </c>
      <c r="J45" s="5" t="s">
        <v>56</v>
      </c>
      <c r="K45" s="5" t="s">
        <v>57</v>
      </c>
      <c r="L45" s="6">
        <v>164257.57</v>
      </c>
      <c r="M45" s="5"/>
      <c r="N45" s="5" t="s">
        <v>28</v>
      </c>
      <c r="O45" s="5"/>
      <c r="P45" s="6">
        <v>53627</v>
      </c>
      <c r="Q45" s="5" t="s">
        <v>58</v>
      </c>
      <c r="R45" s="5"/>
      <c r="S45" s="5" t="s">
        <v>59</v>
      </c>
      <c r="T45" s="5" t="s">
        <v>31</v>
      </c>
    </row>
    <row r="46" spans="1:20" ht="47.25" x14ac:dyDescent="0.25">
      <c r="A46" s="2" t="str">
        <f>HYPERLINK("https://smarttender.biz/publichni-zakupivli-prozorro/5009832","3011746")</f>
        <v>3011746</v>
      </c>
      <c r="B46" s="2" t="str">
        <f>HYPERLINK("https://prozorro.gov.ua/tender/UA-2018-10-10-000567-c","UA-2018-10-10-000567-c")</f>
        <v>UA-2018-10-10-000567-c</v>
      </c>
      <c r="C46" s="3">
        <v>43383</v>
      </c>
      <c r="D46" s="5"/>
      <c r="E46" s="5" t="s">
        <v>36</v>
      </c>
      <c r="F46" s="5" t="s">
        <v>22</v>
      </c>
      <c r="G46" s="5" t="s">
        <v>23</v>
      </c>
      <c r="H46" s="5" t="s">
        <v>24</v>
      </c>
      <c r="I46" s="5" t="s">
        <v>81</v>
      </c>
      <c r="J46" s="5" t="s">
        <v>42</v>
      </c>
      <c r="K46" s="5" t="s">
        <v>42</v>
      </c>
      <c r="L46" s="6">
        <v>5310</v>
      </c>
      <c r="M46" s="5"/>
      <c r="N46" s="5" t="s">
        <v>28</v>
      </c>
      <c r="O46" s="5"/>
      <c r="P46" s="6">
        <v>900</v>
      </c>
      <c r="Q46" s="5" t="s">
        <v>29</v>
      </c>
      <c r="R46" s="5"/>
      <c r="S46" s="5" t="s">
        <v>24</v>
      </c>
      <c r="T46" s="5" t="s">
        <v>24</v>
      </c>
    </row>
    <row r="47" spans="1:20" ht="47.25" x14ac:dyDescent="0.25">
      <c r="A47" s="2" t="str">
        <f>HYPERLINK("https://smarttender.biz/publichni-zakupivli-prozorro/4584851","2768738")</f>
        <v>2768738</v>
      </c>
      <c r="B47" s="2" t="str">
        <f>HYPERLINK("https://prozorro.gov.ua/tender/UA-2018-08-03-000880-b","UA-2018-08-03-000880-b")</f>
        <v>UA-2018-08-03-000880-b</v>
      </c>
      <c r="C47" s="3">
        <v>43315</v>
      </c>
      <c r="D47" s="5"/>
      <c r="E47" s="5" t="s">
        <v>36</v>
      </c>
      <c r="F47" s="5" t="s">
        <v>22</v>
      </c>
      <c r="G47" s="5" t="s">
        <v>23</v>
      </c>
      <c r="H47" s="5" t="s">
        <v>24</v>
      </c>
      <c r="I47" s="5" t="s">
        <v>81</v>
      </c>
      <c r="J47" s="5" t="s">
        <v>42</v>
      </c>
      <c r="K47" s="5" t="s">
        <v>100</v>
      </c>
      <c r="L47" s="6">
        <v>2000</v>
      </c>
      <c r="M47" s="5"/>
      <c r="N47" s="5" t="s">
        <v>28</v>
      </c>
      <c r="O47" s="5"/>
      <c r="P47" s="6">
        <v>66</v>
      </c>
      <c r="Q47" s="5" t="s">
        <v>29</v>
      </c>
      <c r="R47" s="5"/>
      <c r="S47" s="5" t="s">
        <v>24</v>
      </c>
      <c r="T47" s="5" t="s">
        <v>24</v>
      </c>
    </row>
    <row r="48" spans="1:20" ht="47.25" x14ac:dyDescent="0.25">
      <c r="A48" s="2" t="str">
        <f>HYPERLINK("https://smarttender.biz/publichni-zakupivli-prozorro/5321217","3193198")</f>
        <v>3193198</v>
      </c>
      <c r="B48" s="2" t="str">
        <f>HYPERLINK("https://prozorro.gov.ua/tender/UA-2018-11-21-002783-c","UA-2018-11-21-002783-c")</f>
        <v>UA-2018-11-21-002783-c</v>
      </c>
      <c r="C48" s="3">
        <v>43425</v>
      </c>
      <c r="D48" s="5"/>
      <c r="E48" s="5" t="s">
        <v>36</v>
      </c>
      <c r="F48" s="5" t="s">
        <v>22</v>
      </c>
      <c r="G48" s="5" t="s">
        <v>23</v>
      </c>
      <c r="H48" s="5" t="s">
        <v>24</v>
      </c>
      <c r="I48" s="5" t="s">
        <v>101</v>
      </c>
      <c r="J48" s="5" t="s">
        <v>102</v>
      </c>
      <c r="K48" s="5" t="s">
        <v>103</v>
      </c>
      <c r="L48" s="6">
        <v>40481.199999999997</v>
      </c>
      <c r="M48" s="5"/>
      <c r="N48" s="5" t="s">
        <v>28</v>
      </c>
      <c r="O48" s="5"/>
      <c r="P48" s="6">
        <v>20</v>
      </c>
      <c r="Q48" s="5" t="s">
        <v>104</v>
      </c>
      <c r="R48" s="5"/>
      <c r="S48" s="5" t="s">
        <v>24</v>
      </c>
      <c r="T48" s="5" t="s">
        <v>24</v>
      </c>
    </row>
    <row r="49" spans="1:20" ht="47.25" x14ac:dyDescent="0.25">
      <c r="A49" s="2" t="str">
        <f>HYPERLINK("https://smarttender.biz/publichni-zakupivli-prozorro/5426974","3256130")</f>
        <v>3256130</v>
      </c>
      <c r="B49" s="2" t="str">
        <f>HYPERLINK("https://prozorro.gov.ua/tender/UA-2018-12-04-001860-c","UA-2018-12-04-001860-c")</f>
        <v>UA-2018-12-04-001860-c</v>
      </c>
      <c r="C49" s="3">
        <v>43438</v>
      </c>
      <c r="D49" s="5"/>
      <c r="E49" s="5" t="s">
        <v>36</v>
      </c>
      <c r="F49" s="5" t="s">
        <v>22</v>
      </c>
      <c r="G49" s="5" t="s">
        <v>23</v>
      </c>
      <c r="H49" s="5" t="s">
        <v>24</v>
      </c>
      <c r="I49" s="5" t="s">
        <v>81</v>
      </c>
      <c r="J49" s="5" t="s">
        <v>74</v>
      </c>
      <c r="K49" s="5" t="s">
        <v>105</v>
      </c>
      <c r="L49" s="6">
        <v>17000</v>
      </c>
      <c r="M49" s="5"/>
      <c r="N49" s="5" t="s">
        <v>64</v>
      </c>
      <c r="O49" s="5"/>
      <c r="P49" s="6">
        <v>160</v>
      </c>
      <c r="Q49" s="5" t="s">
        <v>29</v>
      </c>
      <c r="R49" s="5"/>
      <c r="S49" s="5" t="s">
        <v>24</v>
      </c>
      <c r="T49" s="5" t="s">
        <v>24</v>
      </c>
    </row>
    <row r="50" spans="1:20" ht="47.25" x14ac:dyDescent="0.25">
      <c r="A50" s="2" t="str">
        <f>HYPERLINK("https://smarttender.biz/publichni-zakupivli-prozorro/4915285","2955284")</f>
        <v>2955284</v>
      </c>
      <c r="B50" s="2" t="str">
        <f>HYPERLINK("https://prozorro.gov.ua/tender/UA-2018-09-25-001022-c","UA-2018-09-25-001022-c")</f>
        <v>UA-2018-09-25-001022-c</v>
      </c>
      <c r="C50" s="3">
        <v>43368</v>
      </c>
      <c r="D50" s="5"/>
      <c r="E50" s="5" t="s">
        <v>36</v>
      </c>
      <c r="F50" s="5" t="s">
        <v>22</v>
      </c>
      <c r="G50" s="5" t="s">
        <v>23</v>
      </c>
      <c r="H50" s="5" t="s">
        <v>24</v>
      </c>
      <c r="I50" s="5" t="s">
        <v>81</v>
      </c>
      <c r="J50" s="5" t="s">
        <v>106</v>
      </c>
      <c r="K50" s="5" t="s">
        <v>107</v>
      </c>
      <c r="L50" s="6">
        <v>10000</v>
      </c>
      <c r="M50" s="5"/>
      <c r="N50" s="5" t="s">
        <v>64</v>
      </c>
      <c r="O50" s="5"/>
      <c r="P50" s="6">
        <v>117</v>
      </c>
      <c r="Q50" s="5" t="s">
        <v>29</v>
      </c>
      <c r="R50" s="5"/>
      <c r="S50" s="5" t="s">
        <v>24</v>
      </c>
      <c r="T50" s="5" t="s">
        <v>24</v>
      </c>
    </row>
    <row r="51" spans="1:20" ht="47.25" x14ac:dyDescent="0.25">
      <c r="A51" s="2" t="str">
        <f>HYPERLINK("https://smarttender.biz/publichni-zakupivli-prozorro/4973279","2990347")</f>
        <v>2990347</v>
      </c>
      <c r="B51" s="2" t="str">
        <f>HYPERLINK("https://prozorro.gov.ua/tender/UA-2018-10-04-000533-c","UA-2018-10-04-000533-c")</f>
        <v>UA-2018-10-04-000533-c</v>
      </c>
      <c r="C51" s="3">
        <v>43377</v>
      </c>
      <c r="D51" s="5"/>
      <c r="E51" s="5" t="s">
        <v>36</v>
      </c>
      <c r="F51" s="5" t="s">
        <v>22</v>
      </c>
      <c r="G51" s="5" t="s">
        <v>23</v>
      </c>
      <c r="H51" s="5" t="s">
        <v>24</v>
      </c>
      <c r="I51" s="5" t="s">
        <v>81</v>
      </c>
      <c r="J51" s="5" t="s">
        <v>45</v>
      </c>
      <c r="K51" s="5" t="s">
        <v>108</v>
      </c>
      <c r="L51" s="6">
        <v>54500</v>
      </c>
      <c r="M51" s="5"/>
      <c r="N51" s="5" t="s">
        <v>28</v>
      </c>
      <c r="O51" s="5"/>
      <c r="P51" s="6">
        <v>2949</v>
      </c>
      <c r="Q51" s="5" t="s">
        <v>73</v>
      </c>
      <c r="R51" s="5"/>
      <c r="S51" s="5" t="s">
        <v>24</v>
      </c>
      <c r="T51" s="5" t="s">
        <v>24</v>
      </c>
    </row>
    <row r="52" spans="1:20" ht="47.25" x14ac:dyDescent="0.25">
      <c r="A52" s="2" t="str">
        <f>HYPERLINK("https://smarttender.biz/publichni-zakupivli-prozorro/11124391","6500497")</f>
        <v>6500497</v>
      </c>
      <c r="B52" s="2" t="str">
        <f>HYPERLINK("https://prozorro.gov.ua/tender/UA-2020-07-17-001026-c","UA-2020-07-17-001026-c")</f>
        <v>UA-2020-07-17-001026-c</v>
      </c>
      <c r="C52" s="3">
        <v>44029</v>
      </c>
      <c r="D52" s="5"/>
      <c r="E52" s="5" t="s">
        <v>36</v>
      </c>
      <c r="F52" s="5" t="s">
        <v>22</v>
      </c>
      <c r="G52" s="5" t="s">
        <v>23</v>
      </c>
      <c r="H52" s="5" t="s">
        <v>24</v>
      </c>
      <c r="I52" s="5" t="s">
        <v>81</v>
      </c>
      <c r="J52" s="5" t="s">
        <v>109</v>
      </c>
      <c r="K52" s="5" t="s">
        <v>110</v>
      </c>
      <c r="L52" s="6">
        <v>2440</v>
      </c>
      <c r="M52" s="5"/>
      <c r="N52" s="5" t="s">
        <v>64</v>
      </c>
      <c r="O52" s="5"/>
      <c r="P52" s="6">
        <v>1</v>
      </c>
      <c r="Q52" s="5" t="s">
        <v>111</v>
      </c>
      <c r="R52" s="5"/>
      <c r="S52" s="5" t="s">
        <v>24</v>
      </c>
      <c r="T52" s="5" t="s">
        <v>24</v>
      </c>
    </row>
    <row r="53" spans="1:20" ht="47.25" x14ac:dyDescent="0.25">
      <c r="A53" s="2" t="str">
        <f>HYPERLINK("https://smarttender.biz/publichni-zakupivli-prozorro/11575285","6763368")</f>
        <v>6763368</v>
      </c>
      <c r="B53" s="2" t="str">
        <f>HYPERLINK("https://prozorro.gov.ua/tender/UA-2020-08-10-006891-a","UA-2020-08-10-006891-a")</f>
        <v>UA-2020-08-10-006891-a</v>
      </c>
      <c r="C53" s="3">
        <v>44053</v>
      </c>
      <c r="D53" s="5"/>
      <c r="E53" s="5" t="s">
        <v>36</v>
      </c>
      <c r="F53" s="5" t="s">
        <v>22</v>
      </c>
      <c r="G53" s="5" t="s">
        <v>23</v>
      </c>
      <c r="H53" s="5" t="s">
        <v>24</v>
      </c>
      <c r="I53" s="5" t="s">
        <v>81</v>
      </c>
      <c r="J53" s="5" t="s">
        <v>66</v>
      </c>
      <c r="K53" s="5" t="s">
        <v>88</v>
      </c>
      <c r="L53" s="6">
        <v>14832.78</v>
      </c>
      <c r="M53" s="5"/>
      <c r="N53" s="5" t="s">
        <v>28</v>
      </c>
      <c r="O53" s="5"/>
      <c r="P53" s="6">
        <v>1061</v>
      </c>
      <c r="Q53" s="5" t="s">
        <v>84</v>
      </c>
      <c r="R53" s="5"/>
      <c r="S53" s="5" t="s">
        <v>24</v>
      </c>
      <c r="T53" s="5" t="s">
        <v>24</v>
      </c>
    </row>
    <row r="54" spans="1:20" ht="47.25" x14ac:dyDescent="0.25">
      <c r="A54" s="2" t="str">
        <f>HYPERLINK("https://smarttender.biz/publichni-zakupivli-prozorro/11575040","6763124")</f>
        <v>6763124</v>
      </c>
      <c r="B54" s="2" t="str">
        <f>HYPERLINK("https://prozorro.gov.ua/tender/UA-2020-08-10-006747-a","UA-2020-08-10-006747-a")</f>
        <v>UA-2020-08-10-006747-a</v>
      </c>
      <c r="C54" s="3">
        <v>44053</v>
      </c>
      <c r="D54" s="5"/>
      <c r="E54" s="5" t="s">
        <v>36</v>
      </c>
      <c r="F54" s="5" t="s">
        <v>22</v>
      </c>
      <c r="G54" s="5" t="s">
        <v>23</v>
      </c>
      <c r="H54" s="5" t="s">
        <v>24</v>
      </c>
      <c r="I54" s="5" t="s">
        <v>81</v>
      </c>
      <c r="J54" s="5" t="s">
        <v>85</v>
      </c>
      <c r="K54" s="5" t="s">
        <v>86</v>
      </c>
      <c r="L54" s="6">
        <v>5921.16</v>
      </c>
      <c r="M54" s="5"/>
      <c r="N54" s="5" t="s">
        <v>28</v>
      </c>
      <c r="O54" s="5"/>
      <c r="P54" s="6">
        <v>266</v>
      </c>
      <c r="Q54" s="5" t="s">
        <v>84</v>
      </c>
      <c r="R54" s="5"/>
      <c r="S54" s="5" t="s">
        <v>24</v>
      </c>
      <c r="T54" s="5" t="s">
        <v>24</v>
      </c>
    </row>
    <row r="55" spans="1:20" ht="47.25" x14ac:dyDescent="0.25">
      <c r="A55" s="2" t="str">
        <f>HYPERLINK("https://smarttender.biz/publichni-zakupivli-prozorro/11610466","6784000")</f>
        <v>6784000</v>
      </c>
      <c r="B55" s="2" t="str">
        <f>HYPERLINK("https://prozorro.gov.ua/tender/UA-2020-08-12-000323-a","UA-2020-08-12-000323-a")</f>
        <v>UA-2020-08-12-000323-a</v>
      </c>
      <c r="C55" s="3">
        <v>44055</v>
      </c>
      <c r="D55" s="5"/>
      <c r="E55" s="5" t="s">
        <v>36</v>
      </c>
      <c r="F55" s="5" t="s">
        <v>22</v>
      </c>
      <c r="G55" s="5" t="s">
        <v>23</v>
      </c>
      <c r="H55" s="5" t="s">
        <v>24</v>
      </c>
      <c r="I55" s="5" t="s">
        <v>81</v>
      </c>
      <c r="J55" s="5" t="s">
        <v>93</v>
      </c>
      <c r="K55" s="5" t="s">
        <v>112</v>
      </c>
      <c r="L55" s="6">
        <v>12040</v>
      </c>
      <c r="M55" s="5"/>
      <c r="N55" s="5" t="s">
        <v>64</v>
      </c>
      <c r="O55" s="5"/>
      <c r="P55" s="6">
        <v>24</v>
      </c>
      <c r="Q55" s="5" t="s">
        <v>84</v>
      </c>
      <c r="R55" s="5"/>
      <c r="S55" s="5" t="s">
        <v>24</v>
      </c>
      <c r="T55" s="5" t="s">
        <v>24</v>
      </c>
    </row>
    <row r="56" spans="1:20" ht="47.25" x14ac:dyDescent="0.25">
      <c r="A56" s="2" t="str">
        <f>HYPERLINK("https://smarttender.biz/publichni-zakupivli-prozorro/11610470","6784004")</f>
        <v>6784004</v>
      </c>
      <c r="B56" s="2" t="str">
        <f>HYPERLINK("https://prozorro.gov.ua/tender/UA-2020-08-12-000326-a","UA-2020-08-12-000326-a")</f>
        <v>UA-2020-08-12-000326-a</v>
      </c>
      <c r="C56" s="3">
        <v>44055</v>
      </c>
      <c r="D56" s="5"/>
      <c r="E56" s="5" t="s">
        <v>36</v>
      </c>
      <c r="F56" s="5" t="s">
        <v>22</v>
      </c>
      <c r="G56" s="5" t="s">
        <v>23</v>
      </c>
      <c r="H56" s="5" t="s">
        <v>24</v>
      </c>
      <c r="I56" s="5" t="s">
        <v>81</v>
      </c>
      <c r="J56" s="5" t="s">
        <v>97</v>
      </c>
      <c r="K56" s="5" t="s">
        <v>98</v>
      </c>
      <c r="L56" s="6">
        <v>2160</v>
      </c>
      <c r="M56" s="5"/>
      <c r="N56" s="5" t="s">
        <v>64</v>
      </c>
      <c r="O56" s="5"/>
      <c r="P56" s="6">
        <v>3</v>
      </c>
      <c r="Q56" s="5" t="s">
        <v>84</v>
      </c>
      <c r="R56" s="5"/>
      <c r="S56" s="5" t="s">
        <v>24</v>
      </c>
      <c r="T56" s="5" t="s">
        <v>24</v>
      </c>
    </row>
    <row r="57" spans="1:20" ht="47.25" x14ac:dyDescent="0.25">
      <c r="A57" s="2" t="str">
        <f>HYPERLINK("https://smarttender.biz/publichni-zakupivli-prozorro/8585704","5051407")</f>
        <v>5051407</v>
      </c>
      <c r="B57" s="2" t="str">
        <f>HYPERLINK("https://prozorro.gov.ua/tender/UA-2020-01-09-001943-c","UA-2020-01-09-001943-c")</f>
        <v>UA-2020-01-09-001943-c</v>
      </c>
      <c r="C57" s="3">
        <v>43839</v>
      </c>
      <c r="D57" s="5"/>
      <c r="E57" s="5" t="s">
        <v>36</v>
      </c>
      <c r="F57" s="5" t="s">
        <v>22</v>
      </c>
      <c r="G57" s="5" t="s">
        <v>23</v>
      </c>
      <c r="H57" s="5" t="s">
        <v>24</v>
      </c>
      <c r="I57" s="5" t="s">
        <v>101</v>
      </c>
      <c r="J57" s="5" t="s">
        <v>102</v>
      </c>
      <c r="K57" s="5" t="s">
        <v>113</v>
      </c>
      <c r="L57" s="6">
        <v>530933.41</v>
      </c>
      <c r="M57" s="5"/>
      <c r="N57" s="5" t="s">
        <v>28</v>
      </c>
      <c r="O57" s="5"/>
      <c r="P57" s="6">
        <v>326.05700000000002</v>
      </c>
      <c r="Q57" s="5" t="s">
        <v>104</v>
      </c>
      <c r="R57" s="5"/>
      <c r="S57" s="5" t="s">
        <v>24</v>
      </c>
      <c r="T57" s="5" t="s">
        <v>24</v>
      </c>
    </row>
    <row r="58" spans="1:20" ht="47.25" x14ac:dyDescent="0.25">
      <c r="A58" s="2" t="str">
        <f>HYPERLINK("https://smarttender.biz/publichni-zakupivli-prozorro/8657844","5095428")</f>
        <v>5095428</v>
      </c>
      <c r="B58" s="2" t="str">
        <f>HYPERLINK("https://prozorro.gov.ua/tender/UA-2020-01-20-002596-c","UA-2020-01-20-002596-c")</f>
        <v>UA-2020-01-20-002596-c</v>
      </c>
      <c r="C58" s="3">
        <v>43850</v>
      </c>
      <c r="D58" s="5"/>
      <c r="E58" s="5" t="s">
        <v>36</v>
      </c>
      <c r="F58" s="5" t="s">
        <v>22</v>
      </c>
      <c r="G58" s="5" t="s">
        <v>23</v>
      </c>
      <c r="H58" s="5" t="s">
        <v>24</v>
      </c>
      <c r="I58" s="5" t="s">
        <v>81</v>
      </c>
      <c r="J58" s="5" t="s">
        <v>26</v>
      </c>
      <c r="K58" s="5" t="s">
        <v>27</v>
      </c>
      <c r="L58" s="6">
        <v>75000</v>
      </c>
      <c r="M58" s="5"/>
      <c r="N58" s="5" t="s">
        <v>64</v>
      </c>
      <c r="O58" s="5"/>
      <c r="P58" s="6">
        <v>500</v>
      </c>
      <c r="Q58" s="5" t="s">
        <v>29</v>
      </c>
      <c r="R58" s="5"/>
      <c r="S58" s="5" t="s">
        <v>24</v>
      </c>
      <c r="T58" s="5" t="s">
        <v>24</v>
      </c>
    </row>
    <row r="59" spans="1:20" ht="47.25" x14ac:dyDescent="0.25">
      <c r="A59" s="2" t="str">
        <f>HYPERLINK("https://smarttender.biz/publichni-zakupivli-prozorro/8657993","5095534")</f>
        <v>5095534</v>
      </c>
      <c r="B59" s="2" t="str">
        <f>HYPERLINK("https://prozorro.gov.ua/tender/UA-2020-01-20-002683-c","UA-2020-01-20-002683-c")</f>
        <v>UA-2020-01-20-002683-c</v>
      </c>
      <c r="C59" s="3">
        <v>43850</v>
      </c>
      <c r="D59" s="5"/>
      <c r="E59" s="5" t="s">
        <v>36</v>
      </c>
      <c r="F59" s="5" t="s">
        <v>22</v>
      </c>
      <c r="G59" s="5" t="s">
        <v>23</v>
      </c>
      <c r="H59" s="5" t="s">
        <v>24</v>
      </c>
      <c r="I59" s="5" t="s">
        <v>81</v>
      </c>
      <c r="J59" s="5" t="s">
        <v>78</v>
      </c>
      <c r="K59" s="5" t="s">
        <v>114</v>
      </c>
      <c r="L59" s="6">
        <v>74500</v>
      </c>
      <c r="M59" s="5"/>
      <c r="N59" s="5" t="s">
        <v>64</v>
      </c>
      <c r="O59" s="5"/>
      <c r="P59" s="6">
        <v>1000</v>
      </c>
      <c r="Q59" s="5" t="s">
        <v>29</v>
      </c>
      <c r="R59" s="5"/>
      <c r="S59" s="5" t="s">
        <v>24</v>
      </c>
      <c r="T59" s="5" t="s">
        <v>24</v>
      </c>
    </row>
    <row r="60" spans="1:20" ht="47.25" x14ac:dyDescent="0.25">
      <c r="A60" s="2" t="str">
        <f>HYPERLINK("https://smarttender.biz/publichni-zakupivli-prozorro/8658208","5095649")</f>
        <v>5095649</v>
      </c>
      <c r="B60" s="2" t="str">
        <f>HYPERLINK("https://prozorro.gov.ua/tender/UA-2020-01-20-002762-c","UA-2020-01-20-002762-c")</f>
        <v>UA-2020-01-20-002762-c</v>
      </c>
      <c r="C60" s="3">
        <v>43850</v>
      </c>
      <c r="D60" s="5"/>
      <c r="E60" s="5" t="s">
        <v>36</v>
      </c>
      <c r="F60" s="5" t="s">
        <v>22</v>
      </c>
      <c r="G60" s="5" t="s">
        <v>23</v>
      </c>
      <c r="H60" s="5" t="s">
        <v>24</v>
      </c>
      <c r="I60" s="5" t="s">
        <v>81</v>
      </c>
      <c r="J60" s="5" t="s">
        <v>74</v>
      </c>
      <c r="K60" s="5" t="s">
        <v>105</v>
      </c>
      <c r="L60" s="6">
        <v>162736.79999999999</v>
      </c>
      <c r="M60" s="5"/>
      <c r="N60" s="5" t="s">
        <v>64</v>
      </c>
      <c r="O60" s="5"/>
      <c r="P60" s="6">
        <v>1580</v>
      </c>
      <c r="Q60" s="5" t="s">
        <v>29</v>
      </c>
      <c r="R60" s="5"/>
      <c r="S60" s="5" t="s">
        <v>24</v>
      </c>
      <c r="T60" s="5" t="s">
        <v>24</v>
      </c>
    </row>
    <row r="61" spans="1:20" ht="47.25" x14ac:dyDescent="0.25">
      <c r="A61" s="2" t="str">
        <f>HYPERLINK("https://smarttender.biz/publichni-zakupivli-prozorro/8720854","5131893")</f>
        <v>5131893</v>
      </c>
      <c r="B61" s="2" t="str">
        <f>HYPERLINK("https://prozorro.gov.ua/tender/UA-2020-01-23-005204-a","UA-2020-01-23-005204-a")</f>
        <v>UA-2020-01-23-005204-a</v>
      </c>
      <c r="C61" s="3">
        <v>43853</v>
      </c>
      <c r="D61" s="5"/>
      <c r="E61" s="5" t="s">
        <v>36</v>
      </c>
      <c r="F61" s="5" t="s">
        <v>22</v>
      </c>
      <c r="G61" s="5" t="s">
        <v>23</v>
      </c>
      <c r="H61" s="5" t="s">
        <v>24</v>
      </c>
      <c r="I61" s="5" t="s">
        <v>81</v>
      </c>
      <c r="J61" s="5" t="s">
        <v>115</v>
      </c>
      <c r="K61" s="5" t="s">
        <v>116</v>
      </c>
      <c r="L61" s="6">
        <v>52152.14</v>
      </c>
      <c r="M61" s="5"/>
      <c r="N61" s="5" t="s">
        <v>28</v>
      </c>
      <c r="O61" s="5"/>
      <c r="P61" s="6">
        <v>6569</v>
      </c>
      <c r="Q61" s="5" t="s">
        <v>117</v>
      </c>
      <c r="R61" s="5"/>
      <c r="S61" s="5" t="s">
        <v>24</v>
      </c>
      <c r="T61" s="5" t="s">
        <v>24</v>
      </c>
    </row>
    <row r="62" spans="1:20" ht="47.25" x14ac:dyDescent="0.25">
      <c r="A62" s="2" t="str">
        <f>HYPERLINK("https://smarttender.biz/publichni-zakupivli-prozorro/5726567","3415045")</f>
        <v>3415045</v>
      </c>
      <c r="B62" s="2" t="str">
        <f>HYPERLINK("https://prozorro.gov.ua/tender/UA-2018-12-29-001065-b","UA-2018-12-29-001065-b")</f>
        <v>UA-2018-12-29-001065-b</v>
      </c>
      <c r="C62" s="3">
        <v>43463</v>
      </c>
      <c r="D62" s="5"/>
      <c r="E62" s="5" t="s">
        <v>36</v>
      </c>
      <c r="F62" s="5" t="s">
        <v>22</v>
      </c>
      <c r="G62" s="5" t="s">
        <v>23</v>
      </c>
      <c r="H62" s="5" t="s">
        <v>24</v>
      </c>
      <c r="I62" s="5" t="s">
        <v>101</v>
      </c>
      <c r="J62" s="5" t="s">
        <v>102</v>
      </c>
      <c r="K62" s="5" t="s">
        <v>103</v>
      </c>
      <c r="L62" s="6">
        <v>545756.28</v>
      </c>
      <c r="M62" s="5"/>
      <c r="N62" s="5" t="s">
        <v>28</v>
      </c>
      <c r="O62" s="5"/>
      <c r="P62" s="5"/>
      <c r="Q62" s="5" t="s">
        <v>24</v>
      </c>
      <c r="R62" s="5"/>
      <c r="S62" s="5" t="s">
        <v>24</v>
      </c>
      <c r="T62" s="5" t="s">
        <v>24</v>
      </c>
    </row>
    <row r="63" spans="1:20" ht="47.25" x14ac:dyDescent="0.25">
      <c r="A63" s="2" t="str">
        <f>HYPERLINK("https://smarttender.biz/publichni-zakupivli-prozorro/5829928","3477967")</f>
        <v>3477967</v>
      </c>
      <c r="B63" s="2" t="str">
        <f>HYPERLINK("https://prozorro.gov.ua/tender/UA-2019-01-18-003649-c","UA-2019-01-18-003649-c")</f>
        <v>UA-2019-01-18-003649-c</v>
      </c>
      <c r="C63" s="3">
        <v>43483</v>
      </c>
      <c r="D63" s="5"/>
      <c r="E63" s="5" t="s">
        <v>36</v>
      </c>
      <c r="F63" s="5" t="s">
        <v>22</v>
      </c>
      <c r="G63" s="5" t="s">
        <v>23</v>
      </c>
      <c r="H63" s="5" t="s">
        <v>24</v>
      </c>
      <c r="I63" s="5" t="s">
        <v>81</v>
      </c>
      <c r="J63" s="5" t="s">
        <v>78</v>
      </c>
      <c r="K63" s="5" t="s">
        <v>118</v>
      </c>
      <c r="L63" s="6">
        <v>74500</v>
      </c>
      <c r="M63" s="5"/>
      <c r="N63" s="5" t="s">
        <v>64</v>
      </c>
      <c r="O63" s="5"/>
      <c r="P63" s="6">
        <v>1000</v>
      </c>
      <c r="Q63" s="5" t="s">
        <v>29</v>
      </c>
      <c r="R63" s="5"/>
      <c r="S63" s="5" t="s">
        <v>24</v>
      </c>
      <c r="T63" s="5" t="s">
        <v>24</v>
      </c>
    </row>
    <row r="64" spans="1:20" ht="47.25" x14ac:dyDescent="0.25">
      <c r="A64" s="2" t="str">
        <f>HYPERLINK("https://smarttender.biz/publichni-zakupivli-prozorro/5813037","3467798")</f>
        <v>3467798</v>
      </c>
      <c r="B64" s="2" t="str">
        <f>HYPERLINK("https://prozorro.gov.ua/tender/UA-2019-01-17-002117-c","UA-2019-01-17-002117-c")</f>
        <v>UA-2019-01-17-002117-c</v>
      </c>
      <c r="C64" s="3">
        <v>43482</v>
      </c>
      <c r="D64" s="5"/>
      <c r="E64" s="5" t="s">
        <v>36</v>
      </c>
      <c r="F64" s="5" t="s">
        <v>22</v>
      </c>
      <c r="G64" s="5" t="s">
        <v>23</v>
      </c>
      <c r="H64" s="5" t="s">
        <v>24</v>
      </c>
      <c r="I64" s="5" t="s">
        <v>81</v>
      </c>
      <c r="J64" s="5" t="s">
        <v>74</v>
      </c>
      <c r="K64" s="5" t="s">
        <v>105</v>
      </c>
      <c r="L64" s="6">
        <v>139334</v>
      </c>
      <c r="M64" s="5"/>
      <c r="N64" s="5" t="s">
        <v>64</v>
      </c>
      <c r="O64" s="5"/>
      <c r="P64" s="6">
        <v>1580</v>
      </c>
      <c r="Q64" s="5" t="s">
        <v>29</v>
      </c>
      <c r="R64" s="5"/>
      <c r="S64" s="5" t="s">
        <v>24</v>
      </c>
      <c r="T64" s="5" t="s">
        <v>24</v>
      </c>
    </row>
    <row r="65" spans="1:20" ht="47.25" x14ac:dyDescent="0.25">
      <c r="A65" s="2" t="str">
        <f>HYPERLINK("https://smarttender.biz/publichni-zakupivli-prozorro/5837049","3482213")</f>
        <v>3482213</v>
      </c>
      <c r="B65" s="2" t="str">
        <f>HYPERLINK("https://prozorro.gov.ua/tender/UA-2019-01-21-001547-c","UA-2019-01-21-001547-c")</f>
        <v>UA-2019-01-21-001547-c</v>
      </c>
      <c r="C65" s="3">
        <v>43486</v>
      </c>
      <c r="D65" s="5"/>
      <c r="E65" s="5" t="s">
        <v>36</v>
      </c>
      <c r="F65" s="5" t="s">
        <v>22</v>
      </c>
      <c r="G65" s="5" t="s">
        <v>23</v>
      </c>
      <c r="H65" s="5" t="s">
        <v>24</v>
      </c>
      <c r="I65" s="5" t="s">
        <v>81</v>
      </c>
      <c r="J65" s="5" t="s">
        <v>26</v>
      </c>
      <c r="K65" s="5" t="s">
        <v>27</v>
      </c>
      <c r="L65" s="6">
        <v>63000</v>
      </c>
      <c r="M65" s="5"/>
      <c r="N65" s="5" t="s">
        <v>64</v>
      </c>
      <c r="O65" s="5"/>
      <c r="P65" s="6">
        <v>450</v>
      </c>
      <c r="Q65" s="5" t="s">
        <v>29</v>
      </c>
      <c r="R65" s="5"/>
      <c r="S65" s="5" t="s">
        <v>24</v>
      </c>
      <c r="T65" s="5" t="s">
        <v>24</v>
      </c>
    </row>
    <row r="66" spans="1:20" ht="47.25" x14ac:dyDescent="0.25">
      <c r="A66" s="2" t="str">
        <f>HYPERLINK("https://smarttender.biz/publichni-zakupivli-prozorro/5976132","3561368")</f>
        <v>3561368</v>
      </c>
      <c r="B66" s="2" t="str">
        <f>HYPERLINK("https://prozorro.gov.ua/tender/UA-2019-02-01-002045-b","UA-2019-02-01-002045-b")</f>
        <v>UA-2019-02-01-002045-b</v>
      </c>
      <c r="C66" s="3">
        <v>43497</v>
      </c>
      <c r="D66" s="5"/>
      <c r="E66" s="5" t="s">
        <v>36</v>
      </c>
      <c r="F66" s="5" t="s">
        <v>22</v>
      </c>
      <c r="G66" s="5" t="s">
        <v>23</v>
      </c>
      <c r="H66" s="5" t="s">
        <v>24</v>
      </c>
      <c r="I66" s="5" t="s">
        <v>81</v>
      </c>
      <c r="J66" s="5" t="s">
        <v>56</v>
      </c>
      <c r="K66" s="5" t="s">
        <v>57</v>
      </c>
      <c r="L66" s="6">
        <v>132889.07999999999</v>
      </c>
      <c r="M66" s="5"/>
      <c r="N66" s="5" t="s">
        <v>28</v>
      </c>
      <c r="O66" s="5"/>
      <c r="P66" s="6">
        <v>43452</v>
      </c>
      <c r="Q66" s="5" t="s">
        <v>58</v>
      </c>
      <c r="R66" s="5"/>
      <c r="S66" s="5" t="s">
        <v>24</v>
      </c>
      <c r="T66" s="5" t="s">
        <v>24</v>
      </c>
    </row>
    <row r="67" spans="1:20" ht="47.25" x14ac:dyDescent="0.25">
      <c r="A67" s="2" t="str">
        <f>HYPERLINK("https://smarttender.biz/publichni-zakupivli-prozorro/3888165","2368112")</f>
        <v>2368112</v>
      </c>
      <c r="B67" s="2" t="str">
        <f>HYPERLINK("https://prozorro.gov.ua/tender/UA-2018-04-18-001935-a","UA-2018-04-18-001935-a")</f>
        <v>UA-2018-04-18-001935-a</v>
      </c>
      <c r="C67" s="3">
        <v>43208</v>
      </c>
      <c r="D67" s="5"/>
      <c r="E67" s="5" t="s">
        <v>36</v>
      </c>
      <c r="F67" s="5" t="s">
        <v>22</v>
      </c>
      <c r="G67" s="5" t="s">
        <v>23</v>
      </c>
      <c r="H67" s="5" t="s">
        <v>24</v>
      </c>
      <c r="I67" s="5" t="s">
        <v>81</v>
      </c>
      <c r="J67" s="5" t="s">
        <v>74</v>
      </c>
      <c r="K67" s="5" t="s">
        <v>105</v>
      </c>
      <c r="L67" s="6">
        <v>104128.11</v>
      </c>
      <c r="M67" s="5"/>
      <c r="N67" s="5" t="s">
        <v>64</v>
      </c>
      <c r="O67" s="5"/>
      <c r="P67" s="6">
        <v>1253</v>
      </c>
      <c r="Q67" s="5" t="s">
        <v>29</v>
      </c>
      <c r="R67" s="5"/>
      <c r="S67" s="5" t="s">
        <v>24</v>
      </c>
      <c r="T67" s="5" t="s">
        <v>24</v>
      </c>
    </row>
    <row r="68" spans="1:20" ht="47.25" x14ac:dyDescent="0.25">
      <c r="A68" s="2" t="str">
        <f>HYPERLINK("https://smarttender.biz/publichni-zakupivli-prozorro/3216244","1978070")</f>
        <v>1978070</v>
      </c>
      <c r="B68" s="2" t="str">
        <f>HYPERLINK("https://prozorro.gov.ua/tender/UA-2018-01-18-000185-b","UA-2018-01-18-000185-b")</f>
        <v>UA-2018-01-18-000185-b</v>
      </c>
      <c r="C68" s="3">
        <v>43118</v>
      </c>
      <c r="D68" s="5"/>
      <c r="E68" s="5" t="s">
        <v>36</v>
      </c>
      <c r="F68" s="5" t="s">
        <v>22</v>
      </c>
      <c r="G68" s="5" t="s">
        <v>23</v>
      </c>
      <c r="H68" s="5" t="s">
        <v>24</v>
      </c>
      <c r="I68" s="5" t="s">
        <v>81</v>
      </c>
      <c r="J68" s="5" t="s">
        <v>45</v>
      </c>
      <c r="K68" s="5" t="s">
        <v>108</v>
      </c>
      <c r="L68" s="6">
        <v>199989.6</v>
      </c>
      <c r="M68" s="5"/>
      <c r="N68" s="5" t="s">
        <v>28</v>
      </c>
      <c r="O68" s="5"/>
      <c r="P68" s="6">
        <v>9739</v>
      </c>
      <c r="Q68" s="5" t="s">
        <v>73</v>
      </c>
      <c r="R68" s="5"/>
      <c r="S68" s="5" t="s">
        <v>24</v>
      </c>
      <c r="T68" s="5" t="s">
        <v>24</v>
      </c>
    </row>
    <row r="69" spans="1:20" ht="47.25" x14ac:dyDescent="0.25">
      <c r="A69" s="2" t="str">
        <f>HYPERLINK("https://smarttender.biz/publichni-zakupivli-prozorro/3118078","1915698")</f>
        <v>1915698</v>
      </c>
      <c r="B69" s="2" t="str">
        <f>HYPERLINK("https://prozorro.gov.ua/tender/UA-2017-12-27-000054-b","UA-2017-12-27-000054-b")</f>
        <v>UA-2017-12-27-000054-b</v>
      </c>
      <c r="C69" s="3">
        <v>43096</v>
      </c>
      <c r="D69" s="5"/>
      <c r="E69" s="5" t="s">
        <v>36</v>
      </c>
      <c r="F69" s="5" t="s">
        <v>22</v>
      </c>
      <c r="G69" s="5" t="s">
        <v>23</v>
      </c>
      <c r="H69" s="5" t="s">
        <v>24</v>
      </c>
      <c r="I69" s="5" t="s">
        <v>101</v>
      </c>
      <c r="J69" s="5" t="s">
        <v>102</v>
      </c>
      <c r="K69" s="5" t="s">
        <v>103</v>
      </c>
      <c r="L69" s="6">
        <v>449786.8</v>
      </c>
      <c r="M69" s="5"/>
      <c r="N69" s="5" t="s">
        <v>28</v>
      </c>
      <c r="O69" s="5"/>
      <c r="P69" s="6">
        <v>316</v>
      </c>
      <c r="Q69" s="5" t="s">
        <v>104</v>
      </c>
      <c r="R69" s="5"/>
      <c r="S69" s="5" t="s">
        <v>24</v>
      </c>
      <c r="T69" s="5" t="s">
        <v>24</v>
      </c>
    </row>
    <row r="70" spans="1:20" ht="47.25" x14ac:dyDescent="0.25">
      <c r="A70" s="2" t="str">
        <f>HYPERLINK("https://smarttender.biz/publichni-zakupivli-prozorro/3204683","1971104")</f>
        <v>1971104</v>
      </c>
      <c r="B70" s="2" t="str">
        <f>HYPERLINK("https://prozorro.gov.ua/tender/UA-2018-01-16-003349-c","UA-2018-01-16-003349-c")</f>
        <v>UA-2018-01-16-003349-c</v>
      </c>
      <c r="C70" s="3">
        <v>43116</v>
      </c>
      <c r="D70" s="5"/>
      <c r="E70" s="5" t="s">
        <v>36</v>
      </c>
      <c r="F70" s="5" t="s">
        <v>22</v>
      </c>
      <c r="G70" s="5" t="s">
        <v>23</v>
      </c>
      <c r="H70" s="5" t="s">
        <v>24</v>
      </c>
      <c r="I70" s="5" t="s">
        <v>81</v>
      </c>
      <c r="J70" s="5" t="s">
        <v>106</v>
      </c>
      <c r="K70" s="5" t="s">
        <v>107</v>
      </c>
      <c r="L70" s="6">
        <v>59188.31</v>
      </c>
      <c r="M70" s="5"/>
      <c r="N70" s="5" t="s">
        <v>64</v>
      </c>
      <c r="O70" s="5"/>
      <c r="P70" s="6">
        <v>697</v>
      </c>
      <c r="Q70" s="5" t="s">
        <v>29</v>
      </c>
      <c r="R70" s="5"/>
      <c r="S70" s="5" t="s">
        <v>24</v>
      </c>
      <c r="T70" s="5" t="s">
        <v>24</v>
      </c>
    </row>
    <row r="71" spans="1:20" ht="47.25" x14ac:dyDescent="0.25">
      <c r="A71" s="2" t="str">
        <f>HYPERLINK("https://smarttender.biz/publichni-zakupivli-prozorro/3204686","1971107")</f>
        <v>1971107</v>
      </c>
      <c r="B71" s="2" t="str">
        <f>HYPERLINK("https://prozorro.gov.ua/tender/UA-2018-01-16-003352-c","UA-2018-01-16-003352-c")</f>
        <v>UA-2018-01-16-003352-c</v>
      </c>
      <c r="C71" s="3">
        <v>43116</v>
      </c>
      <c r="D71" s="5"/>
      <c r="E71" s="5" t="s">
        <v>36</v>
      </c>
      <c r="F71" s="5" t="s">
        <v>22</v>
      </c>
      <c r="G71" s="5" t="s">
        <v>23</v>
      </c>
      <c r="H71" s="5" t="s">
        <v>24</v>
      </c>
      <c r="I71" s="5" t="s">
        <v>81</v>
      </c>
      <c r="J71" s="5" t="s">
        <v>74</v>
      </c>
      <c r="K71" s="5" t="s">
        <v>105</v>
      </c>
      <c r="L71" s="6">
        <v>151224.97</v>
      </c>
      <c r="M71" s="5"/>
      <c r="N71" s="5" t="s">
        <v>64</v>
      </c>
      <c r="O71" s="5"/>
      <c r="P71" s="6">
        <v>1820</v>
      </c>
      <c r="Q71" s="5" t="s">
        <v>29</v>
      </c>
      <c r="R71" s="5"/>
      <c r="S71" s="5" t="s">
        <v>24</v>
      </c>
      <c r="T71" s="5" t="s">
        <v>24</v>
      </c>
    </row>
    <row r="72" spans="1:20" ht="47.25" x14ac:dyDescent="0.25">
      <c r="A72" s="2" t="str">
        <f>HYPERLINK("https://smarttender.biz/publichni-zakupivli-prozorro/3204709","1971113")</f>
        <v>1971113</v>
      </c>
      <c r="B72" s="2" t="str">
        <f>HYPERLINK("https://prozorro.gov.ua/tender/UA-2018-01-16-003356-c","UA-2018-01-16-003356-c")</f>
        <v>UA-2018-01-16-003356-c</v>
      </c>
      <c r="C72" s="3">
        <v>43116</v>
      </c>
      <c r="D72" s="5"/>
      <c r="E72" s="5" t="s">
        <v>36</v>
      </c>
      <c r="F72" s="5" t="s">
        <v>22</v>
      </c>
      <c r="G72" s="5" t="s">
        <v>23</v>
      </c>
      <c r="H72" s="5" t="s">
        <v>24</v>
      </c>
      <c r="I72" s="5" t="s">
        <v>81</v>
      </c>
      <c r="J72" s="5" t="s">
        <v>78</v>
      </c>
      <c r="K72" s="5" t="s">
        <v>118</v>
      </c>
      <c r="L72" s="6">
        <v>83100.42</v>
      </c>
      <c r="M72" s="5"/>
      <c r="N72" s="5" t="s">
        <v>64</v>
      </c>
      <c r="O72" s="5"/>
      <c r="P72" s="6">
        <v>1299</v>
      </c>
      <c r="Q72" s="5" t="s">
        <v>29</v>
      </c>
      <c r="R72" s="5"/>
      <c r="S72" s="5" t="s">
        <v>24</v>
      </c>
      <c r="T72" s="5" t="s">
        <v>24</v>
      </c>
    </row>
    <row r="73" spans="1:20" ht="47.25" x14ac:dyDescent="0.25">
      <c r="A73" s="2" t="str">
        <f>HYPERLINK("https://smarttender.biz/publichni-zakupivli-prozorro/3210548","1974659")</f>
        <v>1974659</v>
      </c>
      <c r="B73" s="2" t="str">
        <f>HYPERLINK("https://prozorro.gov.ua/tender/UA-2018-01-17-002077-c","UA-2018-01-17-002077-c")</f>
        <v>UA-2018-01-17-002077-c</v>
      </c>
      <c r="C73" s="3">
        <v>43117</v>
      </c>
      <c r="D73" s="5"/>
      <c r="E73" s="5" t="s">
        <v>36</v>
      </c>
      <c r="F73" s="5" t="s">
        <v>22</v>
      </c>
      <c r="G73" s="5" t="s">
        <v>23</v>
      </c>
      <c r="H73" s="5" t="s">
        <v>24</v>
      </c>
      <c r="I73" s="5" t="s">
        <v>81</v>
      </c>
      <c r="J73" s="5" t="s">
        <v>26</v>
      </c>
      <c r="K73" s="5" t="s">
        <v>27</v>
      </c>
      <c r="L73" s="6">
        <v>88984.01</v>
      </c>
      <c r="M73" s="5"/>
      <c r="N73" s="5" t="s">
        <v>64</v>
      </c>
      <c r="O73" s="5"/>
      <c r="P73" s="6">
        <v>635</v>
      </c>
      <c r="Q73" s="5" t="s">
        <v>29</v>
      </c>
      <c r="R73" s="5"/>
      <c r="S73" s="5" t="s">
        <v>24</v>
      </c>
      <c r="T73" s="5" t="s">
        <v>24</v>
      </c>
    </row>
    <row r="74" spans="1:20" ht="47.25" x14ac:dyDescent="0.25">
      <c r="A74" s="2" t="str">
        <f>HYPERLINK("https://smarttender.biz/publichni-zakupivli-prozorro/7856610","4634222")</f>
        <v>4634222</v>
      </c>
      <c r="B74" s="2" t="str">
        <f>HYPERLINK("https://prozorro.gov.ua/tender/UA-2019-10-21-000653-b","UA-2019-10-21-000653-b")</f>
        <v>UA-2019-10-21-000653-b</v>
      </c>
      <c r="C74" s="3">
        <v>43759</v>
      </c>
      <c r="D74" s="5"/>
      <c r="E74" s="5" t="s">
        <v>36</v>
      </c>
      <c r="F74" s="5" t="s">
        <v>22</v>
      </c>
      <c r="G74" s="5" t="s">
        <v>23</v>
      </c>
      <c r="H74" s="5" t="s">
        <v>24</v>
      </c>
      <c r="I74" s="5" t="s">
        <v>81</v>
      </c>
      <c r="J74" s="5" t="s">
        <v>42</v>
      </c>
      <c r="K74" s="5" t="s">
        <v>65</v>
      </c>
      <c r="L74" s="6">
        <v>4932</v>
      </c>
      <c r="M74" s="5"/>
      <c r="N74" s="5" t="s">
        <v>28</v>
      </c>
      <c r="O74" s="5"/>
      <c r="P74" s="6">
        <v>140</v>
      </c>
      <c r="Q74" s="5" t="s">
        <v>29</v>
      </c>
      <c r="R74" s="5"/>
      <c r="S74" s="5" t="s">
        <v>30</v>
      </c>
      <c r="T74" s="5" t="s">
        <v>31</v>
      </c>
    </row>
    <row r="75" spans="1:20" ht="47.25" x14ac:dyDescent="0.25">
      <c r="A75" s="2" t="str">
        <f>HYPERLINK("https://smarttender.biz/publichni-zakupivli-prozorro/7399359","4367304")</f>
        <v>4367304</v>
      </c>
      <c r="B75" s="2" t="str">
        <f>HYPERLINK("https://prozorro.gov.ua/tender/UA-2019-08-14-000513-a","UA-2019-08-14-000513-a")</f>
        <v>UA-2019-08-14-000513-a</v>
      </c>
      <c r="C75" s="3">
        <v>43691</v>
      </c>
      <c r="D75" s="5"/>
      <c r="E75" s="5" t="s">
        <v>36</v>
      </c>
      <c r="F75" s="5" t="s">
        <v>22</v>
      </c>
      <c r="G75" s="5" t="s">
        <v>23</v>
      </c>
      <c r="H75" s="5" t="s">
        <v>24</v>
      </c>
      <c r="I75" s="5" t="s">
        <v>81</v>
      </c>
      <c r="J75" s="5" t="s">
        <v>42</v>
      </c>
      <c r="K75" s="5" t="s">
        <v>119</v>
      </c>
      <c r="L75" s="6">
        <v>900</v>
      </c>
      <c r="M75" s="5"/>
      <c r="N75" s="5" t="s">
        <v>28</v>
      </c>
      <c r="O75" s="5"/>
      <c r="P75" s="6">
        <v>60</v>
      </c>
      <c r="Q75" s="5" t="s">
        <v>29</v>
      </c>
      <c r="R75" s="5"/>
      <c r="S75" s="5" t="s">
        <v>30</v>
      </c>
      <c r="T75" s="5" t="s">
        <v>31</v>
      </c>
    </row>
    <row r="76" spans="1:20" ht="47.25" x14ac:dyDescent="0.25">
      <c r="A76" s="2" t="str">
        <f>HYPERLINK("https://smarttender.biz/publichni-zakupivli-prozorro/7139567","4212890")</f>
        <v>4212890</v>
      </c>
      <c r="B76" s="2" t="str">
        <f>HYPERLINK("https://prozorro.gov.ua/tender/UA-2019-07-05-001551-c","UA-2019-07-05-001551-c")</f>
        <v>UA-2019-07-05-001551-c</v>
      </c>
      <c r="C76" s="3">
        <v>43651</v>
      </c>
      <c r="D76" s="5"/>
      <c r="E76" s="5" t="s">
        <v>36</v>
      </c>
      <c r="F76" s="5" t="s">
        <v>22</v>
      </c>
      <c r="G76" s="5" t="s">
        <v>23</v>
      </c>
      <c r="H76" s="5" t="s">
        <v>24</v>
      </c>
      <c r="I76" s="5" t="s">
        <v>81</v>
      </c>
      <c r="J76" s="5" t="s">
        <v>42</v>
      </c>
      <c r="K76" s="5" t="s">
        <v>119</v>
      </c>
      <c r="L76" s="6">
        <v>1365</v>
      </c>
      <c r="M76" s="5"/>
      <c r="N76" s="5" t="s">
        <v>28</v>
      </c>
      <c r="O76" s="5"/>
      <c r="P76" s="6">
        <v>35</v>
      </c>
      <c r="Q76" s="5" t="s">
        <v>29</v>
      </c>
      <c r="R76" s="5"/>
      <c r="S76" s="5" t="s">
        <v>30</v>
      </c>
      <c r="T76" s="5" t="s">
        <v>31</v>
      </c>
    </row>
    <row r="77" spans="1:20" ht="47.25" x14ac:dyDescent="0.25">
      <c r="A77" s="2" t="str">
        <f>HYPERLINK("https://smarttender.biz/publichni-zakupivli-prozorro/7139207","4212694")</f>
        <v>4212694</v>
      </c>
      <c r="B77" s="2" t="str">
        <f>HYPERLINK("https://prozorro.gov.ua/tender/UA-2019-07-05-001470-c","UA-2019-07-05-001470-c")</f>
        <v>UA-2019-07-05-001470-c</v>
      </c>
      <c r="C77" s="3">
        <v>43651</v>
      </c>
      <c r="D77" s="5"/>
      <c r="E77" s="5" t="s">
        <v>36</v>
      </c>
      <c r="F77" s="5" t="s">
        <v>22</v>
      </c>
      <c r="G77" s="5" t="s">
        <v>23</v>
      </c>
      <c r="H77" s="5" t="s">
        <v>24</v>
      </c>
      <c r="I77" s="5" t="s">
        <v>81</v>
      </c>
      <c r="J77" s="5" t="s">
        <v>50</v>
      </c>
      <c r="K77" s="5" t="s">
        <v>120</v>
      </c>
      <c r="L77" s="6">
        <v>11120</v>
      </c>
      <c r="M77" s="5"/>
      <c r="N77" s="5" t="s">
        <v>28</v>
      </c>
      <c r="O77" s="5"/>
      <c r="P77" s="6">
        <v>800</v>
      </c>
      <c r="Q77" s="5" t="s">
        <v>29</v>
      </c>
      <c r="R77" s="5"/>
      <c r="S77" s="5" t="s">
        <v>30</v>
      </c>
      <c r="T77" s="5" t="s">
        <v>31</v>
      </c>
    </row>
    <row r="78" spans="1:20" ht="47.25" x14ac:dyDescent="0.25">
      <c r="A78" s="2" t="str">
        <f>HYPERLINK("https://smarttender.biz/publichni-zakupivli-prozorro/6932086","4093191")</f>
        <v>4093191</v>
      </c>
      <c r="B78" s="2" t="str">
        <f>HYPERLINK("https://prozorro.gov.ua/tender/UA-2019-06-05-003282-b","UA-2019-06-05-003282-b")</f>
        <v>UA-2019-06-05-003282-b</v>
      </c>
      <c r="C78" s="3">
        <v>43621</v>
      </c>
      <c r="D78" s="5"/>
      <c r="E78" s="5" t="s">
        <v>36</v>
      </c>
      <c r="F78" s="5" t="s">
        <v>22</v>
      </c>
      <c r="G78" s="5" t="s">
        <v>23</v>
      </c>
      <c r="H78" s="5" t="s">
        <v>24</v>
      </c>
      <c r="I78" s="5" t="s">
        <v>81</v>
      </c>
      <c r="J78" s="5" t="s">
        <v>42</v>
      </c>
      <c r="K78" s="5" t="s">
        <v>121</v>
      </c>
      <c r="L78" s="6">
        <v>7140</v>
      </c>
      <c r="M78" s="5"/>
      <c r="N78" s="5" t="s">
        <v>28</v>
      </c>
      <c r="O78" s="5"/>
      <c r="P78" s="6">
        <v>300</v>
      </c>
      <c r="Q78" s="5" t="s">
        <v>29</v>
      </c>
      <c r="R78" s="5"/>
      <c r="S78" s="5" t="s">
        <v>30</v>
      </c>
      <c r="T78" s="5" t="s">
        <v>31</v>
      </c>
    </row>
    <row r="79" spans="1:20" ht="47.25" x14ac:dyDescent="0.25">
      <c r="A79" s="2" t="str">
        <f>HYPERLINK("https://smarttender.biz/publichni-zakupivli-prozorro/1518752","958502")</f>
        <v>958502</v>
      </c>
      <c r="B79" s="2" t="str">
        <f>HYPERLINK("https://prozorro.gov.ua/tender/UA-2017-04-19-000955-b","UA-2017-04-19-000955-b")</f>
        <v>UA-2017-04-19-000955-b</v>
      </c>
      <c r="C79" s="3">
        <v>42844</v>
      </c>
      <c r="D79" s="5"/>
      <c r="E79" s="5" t="s">
        <v>36</v>
      </c>
      <c r="F79" s="5" t="s">
        <v>22</v>
      </c>
      <c r="G79" s="5" t="s">
        <v>23</v>
      </c>
      <c r="H79" s="5" t="s">
        <v>24</v>
      </c>
      <c r="I79" s="5" t="s">
        <v>81</v>
      </c>
      <c r="J79" s="5" t="s">
        <v>122</v>
      </c>
      <c r="K79" s="5" t="s">
        <v>123</v>
      </c>
      <c r="L79" s="6">
        <v>71236.66</v>
      </c>
      <c r="M79" s="5"/>
      <c r="N79" s="5" t="s">
        <v>64</v>
      </c>
      <c r="O79" s="5"/>
      <c r="P79" s="6">
        <v>750</v>
      </c>
      <c r="Q79" s="5" t="s">
        <v>29</v>
      </c>
      <c r="R79" s="5"/>
      <c r="S79" s="5" t="s">
        <v>24</v>
      </c>
      <c r="T79" s="5" t="s">
        <v>24</v>
      </c>
    </row>
    <row r="80" spans="1:20" ht="31.5" x14ac:dyDescent="0.25">
      <c r="A80" s="2" t="str">
        <f>HYPERLINK("https://smarttender.biz/publichni-zakupivli-prozorro/935635","610345")</f>
        <v>610345</v>
      </c>
      <c r="B80" s="2" t="str">
        <f>HYPERLINK("https://prozorro.gov.ua/tender/UA-2017-01-11-000527-b","UA-2017-01-11-000527-b")</f>
        <v>UA-2017-01-11-000527-b</v>
      </c>
      <c r="C80" s="3">
        <v>42746</v>
      </c>
      <c r="D80" s="5"/>
      <c r="E80" s="5" t="s">
        <v>36</v>
      </c>
      <c r="F80" s="5" t="s">
        <v>124</v>
      </c>
      <c r="G80" s="5" t="s">
        <v>23</v>
      </c>
      <c r="H80" s="5" t="s">
        <v>24</v>
      </c>
      <c r="I80" s="5" t="s">
        <v>81</v>
      </c>
      <c r="J80" s="5" t="s">
        <v>26</v>
      </c>
      <c r="K80" s="5" t="s">
        <v>27</v>
      </c>
      <c r="L80" s="6">
        <v>66388.039999999994</v>
      </c>
      <c r="M80" s="5"/>
      <c r="N80" s="5" t="s">
        <v>64</v>
      </c>
      <c r="O80" s="5"/>
      <c r="P80" s="6">
        <v>553</v>
      </c>
      <c r="Q80" s="5" t="s">
        <v>29</v>
      </c>
      <c r="R80" s="5"/>
      <c r="S80" s="5" t="s">
        <v>24</v>
      </c>
      <c r="T80" s="5" t="s">
        <v>24</v>
      </c>
    </row>
    <row r="81" spans="1:20" ht="31.5" x14ac:dyDescent="0.25">
      <c r="A81" s="2" t="str">
        <f>HYPERLINK("https://smarttender.biz/publichni-zakupivli-prozorro/960055","626701")</f>
        <v>626701</v>
      </c>
      <c r="B81" s="2" t="str">
        <f>HYPERLINK("https://prozorro.gov.ua/tender/UA-2017-01-17-000779-b","UA-2017-01-17-000779-b")</f>
        <v>UA-2017-01-17-000779-b</v>
      </c>
      <c r="C81" s="3">
        <v>42752</v>
      </c>
      <c r="D81" s="5"/>
      <c r="E81" s="5" t="s">
        <v>36</v>
      </c>
      <c r="F81" s="5" t="s">
        <v>124</v>
      </c>
      <c r="G81" s="5" t="s">
        <v>23</v>
      </c>
      <c r="H81" s="5" t="s">
        <v>24</v>
      </c>
      <c r="I81" s="5" t="s">
        <v>81</v>
      </c>
      <c r="J81" s="5" t="s">
        <v>26</v>
      </c>
      <c r="K81" s="5" t="s">
        <v>27</v>
      </c>
      <c r="L81" s="6">
        <v>66388.039999999994</v>
      </c>
      <c r="M81" s="5"/>
      <c r="N81" s="5" t="s">
        <v>64</v>
      </c>
      <c r="O81" s="5"/>
      <c r="P81" s="6">
        <v>553</v>
      </c>
      <c r="Q81" s="5" t="s">
        <v>29</v>
      </c>
      <c r="R81" s="5"/>
      <c r="S81" s="5" t="s">
        <v>24</v>
      </c>
      <c r="T81" s="5" t="s">
        <v>24</v>
      </c>
    </row>
    <row r="82" spans="1:20" ht="31.5" x14ac:dyDescent="0.25">
      <c r="A82" s="2" t="str">
        <f>HYPERLINK("https://smarttender.biz/publichni-zakupivli-prozorro/956468","624496")</f>
        <v>624496</v>
      </c>
      <c r="B82" s="2" t="str">
        <f>HYPERLINK("https://prozorro.gov.ua/tender/UA-2017-01-16-001567-b","UA-2017-01-16-001567-b")</f>
        <v>UA-2017-01-16-001567-b</v>
      </c>
      <c r="C82" s="3">
        <v>42751</v>
      </c>
      <c r="D82" s="5"/>
      <c r="E82" s="5" t="s">
        <v>36</v>
      </c>
      <c r="F82" s="5" t="s">
        <v>124</v>
      </c>
      <c r="G82" s="5" t="s">
        <v>23</v>
      </c>
      <c r="H82" s="5" t="s">
        <v>24</v>
      </c>
      <c r="I82" s="5" t="s">
        <v>81</v>
      </c>
      <c r="J82" s="5" t="s">
        <v>125</v>
      </c>
      <c r="K82" s="5" t="s">
        <v>126</v>
      </c>
      <c r="L82" s="6">
        <v>68240.899999999994</v>
      </c>
      <c r="M82" s="5"/>
      <c r="N82" s="5" t="s">
        <v>64</v>
      </c>
      <c r="O82" s="5"/>
      <c r="P82" s="6">
        <v>1572</v>
      </c>
      <c r="Q82" s="5" t="s">
        <v>29</v>
      </c>
      <c r="R82" s="5"/>
      <c r="S82" s="5" t="s">
        <v>24</v>
      </c>
      <c r="T82" s="5" t="s">
        <v>24</v>
      </c>
    </row>
    <row r="83" spans="1:20" ht="31.5" x14ac:dyDescent="0.25">
      <c r="A83" s="2" t="str">
        <f>HYPERLINK("https://smarttender.biz/publichni-zakupivli-prozorro/956472","624500")</f>
        <v>624500</v>
      </c>
      <c r="B83" s="2" t="str">
        <f>HYPERLINK("https://prozorro.gov.ua/tender/UA-2017-01-16-001571-b","UA-2017-01-16-001571-b")</f>
        <v>UA-2017-01-16-001571-b</v>
      </c>
      <c r="C83" s="3">
        <v>42751</v>
      </c>
      <c r="D83" s="5"/>
      <c r="E83" s="5" t="s">
        <v>36</v>
      </c>
      <c r="F83" s="5" t="s">
        <v>124</v>
      </c>
      <c r="G83" s="5" t="s">
        <v>23</v>
      </c>
      <c r="H83" s="5" t="s">
        <v>24</v>
      </c>
      <c r="I83" s="5" t="s">
        <v>81</v>
      </c>
      <c r="J83" s="5" t="s">
        <v>127</v>
      </c>
      <c r="K83" s="5" t="s">
        <v>128</v>
      </c>
      <c r="L83" s="6">
        <v>82776.740000000005</v>
      </c>
      <c r="M83" s="5"/>
      <c r="N83" s="5" t="s">
        <v>64</v>
      </c>
      <c r="O83" s="5"/>
      <c r="P83" s="6">
        <v>855</v>
      </c>
      <c r="Q83" s="5" t="s">
        <v>29</v>
      </c>
      <c r="R83" s="5"/>
      <c r="S83" s="5" t="s">
        <v>24</v>
      </c>
      <c r="T83" s="5" t="s">
        <v>24</v>
      </c>
    </row>
    <row r="84" spans="1:20" ht="31.5" x14ac:dyDescent="0.25">
      <c r="A84" s="2" t="str">
        <f>HYPERLINK("https://smarttender.biz/publichni-zakupivli-prozorro/956786","624697")</f>
        <v>624697</v>
      </c>
      <c r="B84" s="2" t="str">
        <f>HYPERLINK("https://prozorro.gov.ua/tender/UA-2017-01-16-001704-b","UA-2017-01-16-001704-b")</f>
        <v>UA-2017-01-16-001704-b</v>
      </c>
      <c r="C84" s="3">
        <v>42751</v>
      </c>
      <c r="D84" s="5"/>
      <c r="E84" s="5" t="s">
        <v>36</v>
      </c>
      <c r="F84" s="5" t="s">
        <v>124</v>
      </c>
      <c r="G84" s="5" t="s">
        <v>23</v>
      </c>
      <c r="H84" s="5" t="s">
        <v>24</v>
      </c>
      <c r="I84" s="5" t="s">
        <v>81</v>
      </c>
      <c r="J84" s="5" t="s">
        <v>129</v>
      </c>
      <c r="K84" s="5" t="s">
        <v>130</v>
      </c>
      <c r="L84" s="6">
        <v>104357.35</v>
      </c>
      <c r="M84" s="5"/>
      <c r="N84" s="5" t="s">
        <v>64</v>
      </c>
      <c r="O84" s="5"/>
      <c r="P84" s="6">
        <v>1534</v>
      </c>
      <c r="Q84" s="5" t="s">
        <v>29</v>
      </c>
      <c r="R84" s="5"/>
      <c r="S84" s="5" t="s">
        <v>24</v>
      </c>
      <c r="T84" s="5" t="s">
        <v>24</v>
      </c>
    </row>
    <row r="85" spans="1:20" ht="31.5" x14ac:dyDescent="0.25">
      <c r="A85" s="2" t="str">
        <f>HYPERLINK("https://smarttender.biz/publichni-zakupivli-prozorro/963462","628860")</f>
        <v>628860</v>
      </c>
      <c r="B85" s="2" t="str">
        <f>HYPERLINK("https://prozorro.gov.ua/tender/UA-2017-01-17-001751-b","UA-2017-01-17-001751-b")</f>
        <v>UA-2017-01-17-001751-b</v>
      </c>
      <c r="C85" s="3">
        <v>42752</v>
      </c>
      <c r="D85" s="5"/>
      <c r="E85" s="5" t="s">
        <v>36</v>
      </c>
      <c r="F85" s="5" t="s">
        <v>124</v>
      </c>
      <c r="G85" s="5" t="s">
        <v>23</v>
      </c>
      <c r="H85" s="5" t="s">
        <v>24</v>
      </c>
      <c r="I85" s="5" t="s">
        <v>81</v>
      </c>
      <c r="J85" s="5" t="s">
        <v>45</v>
      </c>
      <c r="K85" s="5" t="s">
        <v>108</v>
      </c>
      <c r="L85" s="6">
        <v>187887.44</v>
      </c>
      <c r="M85" s="5"/>
      <c r="N85" s="5" t="s">
        <v>28</v>
      </c>
      <c r="O85" s="5"/>
      <c r="P85" s="6">
        <v>11772</v>
      </c>
      <c r="Q85" s="5" t="s">
        <v>73</v>
      </c>
      <c r="R85" s="5"/>
      <c r="S85" s="5" t="s">
        <v>24</v>
      </c>
      <c r="T85" s="5" t="s">
        <v>24</v>
      </c>
    </row>
    <row r="86" spans="1:20" ht="31.5" x14ac:dyDescent="0.25">
      <c r="A86" s="2" t="str">
        <f>HYPERLINK("https://smarttender.biz/publichni-zakupivli-prozorro/966350","630430")</f>
        <v>630430</v>
      </c>
      <c r="B86" s="2" t="str">
        <f>HYPERLINK("https://prozorro.gov.ua/tender/UA-2017-01-18-000240-b","UA-2017-01-18-000240-b")</f>
        <v>UA-2017-01-18-000240-b</v>
      </c>
      <c r="C86" s="3">
        <v>42753</v>
      </c>
      <c r="D86" s="5"/>
      <c r="E86" s="5" t="s">
        <v>36</v>
      </c>
      <c r="F86" s="5" t="s">
        <v>124</v>
      </c>
      <c r="G86" s="5" t="s">
        <v>23</v>
      </c>
      <c r="H86" s="5" t="s">
        <v>24</v>
      </c>
      <c r="I86" s="5" t="s">
        <v>81</v>
      </c>
      <c r="J86" s="5" t="s">
        <v>78</v>
      </c>
      <c r="K86" s="5" t="s">
        <v>118</v>
      </c>
      <c r="L86" s="6">
        <v>82581.119999999995</v>
      </c>
      <c r="M86" s="5"/>
      <c r="N86" s="5" t="s">
        <v>64</v>
      </c>
      <c r="O86" s="5"/>
      <c r="P86" s="6">
        <v>1288</v>
      </c>
      <c r="Q86" s="5" t="s">
        <v>29</v>
      </c>
      <c r="R86" s="5"/>
      <c r="S86" s="5" t="s">
        <v>24</v>
      </c>
      <c r="T86" s="5" t="s">
        <v>24</v>
      </c>
    </row>
    <row r="87" spans="1:20" ht="47.25" x14ac:dyDescent="0.25">
      <c r="A87" s="2" t="str">
        <f>HYPERLINK("https://smarttender.biz/publichni-zakupivli-prozorro/837723","565627")</f>
        <v>565627</v>
      </c>
      <c r="B87" s="2" t="str">
        <f>HYPERLINK("https://prozorro.gov.ua/tender/UA-2016-12-21-001454-b","UA-2016-12-21-001454-b")</f>
        <v>UA-2016-12-21-001454-b</v>
      </c>
      <c r="C87" s="3">
        <v>42725</v>
      </c>
      <c r="D87" s="5"/>
      <c r="E87" s="5" t="s">
        <v>36</v>
      </c>
      <c r="F87" s="5" t="s">
        <v>124</v>
      </c>
      <c r="G87" s="5" t="s">
        <v>23</v>
      </c>
      <c r="H87" s="5" t="s">
        <v>24</v>
      </c>
      <c r="I87" s="5" t="s">
        <v>101</v>
      </c>
      <c r="J87" s="5" t="s">
        <v>102</v>
      </c>
      <c r="K87" s="5" t="s">
        <v>131</v>
      </c>
      <c r="L87" s="6">
        <v>482850</v>
      </c>
      <c r="M87" s="5"/>
      <c r="N87" s="5" t="s">
        <v>28</v>
      </c>
      <c r="O87" s="5"/>
      <c r="P87" s="6">
        <v>294</v>
      </c>
      <c r="Q87" s="5" t="s">
        <v>104</v>
      </c>
      <c r="R87" s="5"/>
      <c r="S87" s="5" t="s">
        <v>24</v>
      </c>
      <c r="T87" s="5" t="s">
        <v>24</v>
      </c>
    </row>
    <row r="88" spans="1:20" ht="31.5" x14ac:dyDescent="0.25">
      <c r="A88" s="2" t="str">
        <f>HYPERLINK("https://smarttender.biz/publichni-zakupivli-prozorro/924202","603163")</f>
        <v>603163</v>
      </c>
      <c r="B88" s="2" t="str">
        <f>HYPERLINK("https://prozorro.gov.ua/tender/UA-2017-01-05-000447-b","UA-2017-01-05-000447-b")</f>
        <v>UA-2017-01-05-000447-b</v>
      </c>
      <c r="C88" s="3">
        <v>42740</v>
      </c>
      <c r="D88" s="5"/>
      <c r="E88" s="5" t="s">
        <v>36</v>
      </c>
      <c r="F88" s="5" t="s">
        <v>124</v>
      </c>
      <c r="G88" s="5" t="s">
        <v>23</v>
      </c>
      <c r="H88" s="5" t="s">
        <v>24</v>
      </c>
      <c r="I88" s="5" t="s">
        <v>81</v>
      </c>
      <c r="J88" s="5" t="s">
        <v>127</v>
      </c>
      <c r="K88" s="5" t="s">
        <v>128</v>
      </c>
      <c r="L88" s="6">
        <v>82776.740000000005</v>
      </c>
      <c r="M88" s="5"/>
      <c r="N88" s="5" t="s">
        <v>64</v>
      </c>
      <c r="O88" s="5"/>
      <c r="P88" s="6">
        <v>855</v>
      </c>
      <c r="Q88" s="5" t="s">
        <v>29</v>
      </c>
      <c r="R88" s="5"/>
      <c r="S88" s="5" t="s">
        <v>24</v>
      </c>
      <c r="T88" s="5" t="s">
        <v>24</v>
      </c>
    </row>
    <row r="89" spans="1:20" ht="31.5" x14ac:dyDescent="0.25">
      <c r="A89" s="2" t="str">
        <f>HYPERLINK("https://smarttender.biz/publichni-zakupivli-prozorro/924205","603166")</f>
        <v>603166</v>
      </c>
      <c r="B89" s="2" t="str">
        <f>HYPERLINK("https://prozorro.gov.ua/tender/UA-2017-01-05-000453-b","UA-2017-01-05-000453-b")</f>
        <v>UA-2017-01-05-000453-b</v>
      </c>
      <c r="C89" s="3">
        <v>42740</v>
      </c>
      <c r="D89" s="5"/>
      <c r="E89" s="5" t="s">
        <v>36</v>
      </c>
      <c r="F89" s="5" t="s">
        <v>124</v>
      </c>
      <c r="G89" s="5" t="s">
        <v>23</v>
      </c>
      <c r="H89" s="5" t="s">
        <v>24</v>
      </c>
      <c r="I89" s="5" t="s">
        <v>81</v>
      </c>
      <c r="J89" s="5" t="s">
        <v>78</v>
      </c>
      <c r="K89" s="5" t="s">
        <v>118</v>
      </c>
      <c r="L89" s="6">
        <v>82581.119999999995</v>
      </c>
      <c r="M89" s="5"/>
      <c r="N89" s="5" t="s">
        <v>64</v>
      </c>
      <c r="O89" s="5"/>
      <c r="P89" s="6">
        <v>1288</v>
      </c>
      <c r="Q89" s="5" t="s">
        <v>29</v>
      </c>
      <c r="R89" s="5"/>
      <c r="S89" s="5" t="s">
        <v>24</v>
      </c>
      <c r="T89" s="5" t="s">
        <v>24</v>
      </c>
    </row>
    <row r="90" spans="1:20" ht="31.5" x14ac:dyDescent="0.25">
      <c r="A90" s="2" t="str">
        <f>HYPERLINK("https://smarttender.biz/publichni-zakupivli-prozorro/922281","602022")</f>
        <v>602022</v>
      </c>
      <c r="B90" s="2" t="str">
        <f>HYPERLINK("https://prozorro.gov.ua/tender/UA-2017-01-04-000970-b","UA-2017-01-04-000970-b")</f>
        <v>UA-2017-01-04-000970-b</v>
      </c>
      <c r="C90" s="3">
        <v>42739</v>
      </c>
      <c r="D90" s="5"/>
      <c r="E90" s="5" t="s">
        <v>36</v>
      </c>
      <c r="F90" s="5" t="s">
        <v>124</v>
      </c>
      <c r="G90" s="5" t="s">
        <v>23</v>
      </c>
      <c r="H90" s="5" t="s">
        <v>24</v>
      </c>
      <c r="I90" s="5" t="s">
        <v>81</v>
      </c>
      <c r="J90" s="5" t="s">
        <v>129</v>
      </c>
      <c r="K90" s="5" t="s">
        <v>130</v>
      </c>
      <c r="L90" s="6">
        <v>104357.35</v>
      </c>
      <c r="M90" s="5"/>
      <c r="N90" s="5" t="s">
        <v>64</v>
      </c>
      <c r="O90" s="5"/>
      <c r="P90" s="6">
        <v>1534</v>
      </c>
      <c r="Q90" s="5" t="s">
        <v>29</v>
      </c>
      <c r="R90" s="5"/>
      <c r="S90" s="5" t="s">
        <v>24</v>
      </c>
      <c r="T90" s="5" t="s">
        <v>24</v>
      </c>
    </row>
    <row r="91" spans="1:20" ht="31.5" x14ac:dyDescent="0.25">
      <c r="A91" s="2" t="str">
        <f>HYPERLINK("https://smarttender.biz/publichni-zakupivli-prozorro/922288","602025")</f>
        <v>602025</v>
      </c>
      <c r="B91" s="2" t="str">
        <f>HYPERLINK("https://prozorro.gov.ua/tender/UA-2017-01-04-000974-b","UA-2017-01-04-000974-b")</f>
        <v>UA-2017-01-04-000974-b</v>
      </c>
      <c r="C91" s="3">
        <v>42739</v>
      </c>
      <c r="D91" s="5"/>
      <c r="E91" s="5" t="s">
        <v>36</v>
      </c>
      <c r="F91" s="5" t="s">
        <v>124</v>
      </c>
      <c r="G91" s="5" t="s">
        <v>23</v>
      </c>
      <c r="H91" s="5" t="s">
        <v>24</v>
      </c>
      <c r="I91" s="5" t="s">
        <v>81</v>
      </c>
      <c r="J91" s="5" t="s">
        <v>132</v>
      </c>
      <c r="K91" s="5" t="s">
        <v>108</v>
      </c>
      <c r="L91" s="6">
        <v>187887.44</v>
      </c>
      <c r="M91" s="5"/>
      <c r="N91" s="5" t="s">
        <v>28</v>
      </c>
      <c r="O91" s="5"/>
      <c r="P91" s="6">
        <v>11772</v>
      </c>
      <c r="Q91" s="5" t="s">
        <v>73</v>
      </c>
      <c r="R91" s="5"/>
      <c r="S91" s="5" t="s">
        <v>24</v>
      </c>
      <c r="T91" s="5" t="s">
        <v>24</v>
      </c>
    </row>
    <row r="92" spans="1:20" ht="31.5" x14ac:dyDescent="0.25">
      <c r="A92" s="2" t="str">
        <f>HYPERLINK("https://smarttender.biz/publichni-zakupivli-prozorro/922289","602026")</f>
        <v>602026</v>
      </c>
      <c r="B92" s="2" t="str">
        <f>HYPERLINK("https://prozorro.gov.ua/tender/UA-2017-01-04-000978-b","UA-2017-01-04-000978-b")</f>
        <v>UA-2017-01-04-000978-b</v>
      </c>
      <c r="C92" s="3">
        <v>42739</v>
      </c>
      <c r="D92" s="5"/>
      <c r="E92" s="5" t="s">
        <v>36</v>
      </c>
      <c r="F92" s="5" t="s">
        <v>124</v>
      </c>
      <c r="G92" s="5" t="s">
        <v>23</v>
      </c>
      <c r="H92" s="5" t="s">
        <v>24</v>
      </c>
      <c r="I92" s="5" t="s">
        <v>81</v>
      </c>
      <c r="J92" s="5" t="s">
        <v>125</v>
      </c>
      <c r="K92" s="5" t="s">
        <v>126</v>
      </c>
      <c r="L92" s="6">
        <v>68240.899999999994</v>
      </c>
      <c r="M92" s="5"/>
      <c r="N92" s="5" t="s">
        <v>64</v>
      </c>
      <c r="O92" s="5"/>
      <c r="P92" s="6">
        <v>1572</v>
      </c>
      <c r="Q92" s="5" t="s">
        <v>29</v>
      </c>
      <c r="R92" s="5"/>
      <c r="S92" s="5" t="s">
        <v>24</v>
      </c>
      <c r="T92" s="5" t="s">
        <v>24</v>
      </c>
    </row>
    <row r="93" spans="1:20" ht="47.25" x14ac:dyDescent="0.25">
      <c r="A93" s="2" t="str">
        <f>HYPERLINK("https://smarttender.biz/publichni-zakupivli-prozorro/988388","643627")</f>
        <v>643627</v>
      </c>
      <c r="B93" s="2" t="str">
        <f>HYPERLINK("https://prozorro.gov.ua/tender/UA-2017-01-20-002099-b","UA-2017-01-20-002099-b")</f>
        <v>UA-2017-01-20-002099-b</v>
      </c>
      <c r="C93" s="3">
        <v>42755</v>
      </c>
      <c r="D93" s="5"/>
      <c r="E93" s="5" t="s">
        <v>36</v>
      </c>
      <c r="F93" s="5" t="s">
        <v>22</v>
      </c>
      <c r="G93" s="5" t="s">
        <v>23</v>
      </c>
      <c r="H93" s="5" t="s">
        <v>24</v>
      </c>
      <c r="I93" s="5" t="s">
        <v>81</v>
      </c>
      <c r="J93" s="5" t="s">
        <v>56</v>
      </c>
      <c r="K93" s="5" t="s">
        <v>57</v>
      </c>
      <c r="L93" s="6">
        <v>140158</v>
      </c>
      <c r="M93" s="5"/>
      <c r="N93" s="5" t="s">
        <v>28</v>
      </c>
      <c r="O93" s="5"/>
      <c r="P93" s="6">
        <v>54396</v>
      </c>
      <c r="Q93" s="5" t="s">
        <v>58</v>
      </c>
      <c r="R93" s="5"/>
      <c r="S93" s="5" t="s">
        <v>24</v>
      </c>
      <c r="T93" s="5" t="s">
        <v>24</v>
      </c>
    </row>
    <row r="94" spans="1:20" ht="47.25" x14ac:dyDescent="0.25">
      <c r="A94" s="2" t="str">
        <f>HYPERLINK("https://smarttender.biz/publichni-zakupivli-prozorro/12729020","7448790")</f>
        <v>7448790</v>
      </c>
      <c r="B94" s="2" t="str">
        <f>HYPERLINK("https://prozorro.gov.ua/tender/UA-2020-09-29-005627-a","UA-2020-09-29-005627-a")</f>
        <v>UA-2020-09-29-005627-a</v>
      </c>
      <c r="C94" s="3">
        <v>44103</v>
      </c>
      <c r="D94" s="5"/>
      <c r="E94" s="5" t="s">
        <v>36</v>
      </c>
      <c r="F94" s="5" t="s">
        <v>22</v>
      </c>
      <c r="G94" s="5" t="s">
        <v>23</v>
      </c>
      <c r="H94" s="5" t="s">
        <v>24</v>
      </c>
      <c r="I94" s="5" t="s">
        <v>81</v>
      </c>
      <c r="J94" s="5" t="s">
        <v>133</v>
      </c>
      <c r="K94" s="5" t="s">
        <v>134</v>
      </c>
      <c r="L94" s="6">
        <v>30450</v>
      </c>
      <c r="M94" s="5"/>
      <c r="N94" s="5" t="s">
        <v>64</v>
      </c>
      <c r="O94" s="5"/>
      <c r="P94" s="6">
        <v>10500</v>
      </c>
      <c r="Q94" s="5" t="s">
        <v>84</v>
      </c>
      <c r="R94" s="5"/>
      <c r="S94" s="5" t="s">
        <v>24</v>
      </c>
      <c r="T94" s="5" t="s">
        <v>24</v>
      </c>
    </row>
    <row r="95" spans="1:20" ht="47.25" x14ac:dyDescent="0.25">
      <c r="A95" s="2" t="str">
        <f>HYPERLINK("https://smarttender.biz/publichni-zakupivli-prozorro/12728652","7448596")</f>
        <v>7448596</v>
      </c>
      <c r="B95" s="2" t="str">
        <f>HYPERLINK("https://prozorro.gov.ua/tender/UA-2020-09-29-005575-a","UA-2020-09-29-005575-a")</f>
        <v>UA-2020-09-29-005575-a</v>
      </c>
      <c r="C95" s="3">
        <v>44103</v>
      </c>
      <c r="D95" s="5"/>
      <c r="E95" s="5" t="s">
        <v>36</v>
      </c>
      <c r="F95" s="5" t="s">
        <v>22</v>
      </c>
      <c r="G95" s="5" t="s">
        <v>23</v>
      </c>
      <c r="H95" s="5" t="s">
        <v>24</v>
      </c>
      <c r="I95" s="5" t="s">
        <v>81</v>
      </c>
      <c r="J95" s="5" t="s">
        <v>97</v>
      </c>
      <c r="K95" s="5" t="s">
        <v>98</v>
      </c>
      <c r="L95" s="6">
        <v>28720</v>
      </c>
      <c r="M95" s="5"/>
      <c r="N95" s="5" t="s">
        <v>64</v>
      </c>
      <c r="O95" s="5"/>
      <c r="P95" s="6">
        <v>40</v>
      </c>
      <c r="Q95" s="5" t="s">
        <v>84</v>
      </c>
      <c r="R95" s="5"/>
      <c r="S95" s="5" t="s">
        <v>24</v>
      </c>
      <c r="T95" s="5" t="s">
        <v>24</v>
      </c>
    </row>
    <row r="96" spans="1:20" ht="47.25" x14ac:dyDescent="0.25">
      <c r="A96" s="2" t="str">
        <f>HYPERLINK("https://smarttender.biz/publichni-zakupivli-prozorro/12729018","7448788")</f>
        <v>7448788</v>
      </c>
      <c r="B96" s="2" t="str">
        <f>HYPERLINK("https://prozorro.gov.ua/tender/UA-2020-09-29-005619-a","UA-2020-09-29-005619-a")</f>
        <v>UA-2020-09-29-005619-a</v>
      </c>
      <c r="C96" s="3">
        <v>44103</v>
      </c>
      <c r="D96" s="5"/>
      <c r="E96" s="5" t="s">
        <v>36</v>
      </c>
      <c r="F96" s="5" t="s">
        <v>22</v>
      </c>
      <c r="G96" s="5" t="s">
        <v>23</v>
      </c>
      <c r="H96" s="5" t="s">
        <v>24</v>
      </c>
      <c r="I96" s="5" t="s">
        <v>81</v>
      </c>
      <c r="J96" s="5" t="s">
        <v>93</v>
      </c>
      <c r="K96" s="5" t="s">
        <v>135</v>
      </c>
      <c r="L96" s="6">
        <v>38056</v>
      </c>
      <c r="M96" s="5"/>
      <c r="N96" s="5" t="s">
        <v>64</v>
      </c>
      <c r="O96" s="5"/>
      <c r="P96" s="6">
        <v>74</v>
      </c>
      <c r="Q96" s="5" t="s">
        <v>84</v>
      </c>
      <c r="R96" s="5"/>
      <c r="S96" s="5" t="s">
        <v>24</v>
      </c>
      <c r="T96" s="5" t="s">
        <v>24</v>
      </c>
    </row>
    <row r="97" spans="1:20" ht="47.25" x14ac:dyDescent="0.25">
      <c r="A97" s="2" t="str">
        <f>HYPERLINK("https://smarttender.biz/publichni-zakupivli-prozorro/12776759","7475925")</f>
        <v>7475925</v>
      </c>
      <c r="B97" s="2" t="str">
        <f>HYPERLINK("https://prozorro.gov.ua/tender/UA-2020-10-01-003316-a","UA-2020-10-01-003316-a")</f>
        <v>UA-2020-10-01-003316-a</v>
      </c>
      <c r="C97" s="3">
        <v>44105</v>
      </c>
      <c r="D97" s="5"/>
      <c r="E97" s="5" t="s">
        <v>36</v>
      </c>
      <c r="F97" s="5" t="s">
        <v>22</v>
      </c>
      <c r="G97" s="5" t="s">
        <v>23</v>
      </c>
      <c r="H97" s="5" t="s">
        <v>24</v>
      </c>
      <c r="I97" s="5" t="s">
        <v>81</v>
      </c>
      <c r="J97" s="5" t="s">
        <v>85</v>
      </c>
      <c r="K97" s="5" t="s">
        <v>136</v>
      </c>
      <c r="L97" s="6">
        <v>35746</v>
      </c>
      <c r="M97" s="5"/>
      <c r="N97" s="5" t="s">
        <v>64</v>
      </c>
      <c r="O97" s="5"/>
      <c r="P97" s="6">
        <v>2491</v>
      </c>
      <c r="Q97" s="5" t="s">
        <v>84</v>
      </c>
      <c r="R97" s="5"/>
      <c r="S97" s="5" t="s">
        <v>24</v>
      </c>
      <c r="T97" s="5" t="s">
        <v>24</v>
      </c>
    </row>
    <row r="98" spans="1:20" ht="47.25" x14ac:dyDescent="0.25">
      <c r="A98" s="2" t="str">
        <f>HYPERLINK("https://smarttender.biz/publichni-zakupivli-prozorro/12961888","7584956")</f>
        <v>7584956</v>
      </c>
      <c r="B98" s="2" t="str">
        <f>HYPERLINK("https://prozorro.gov.ua/tender/UA-2020-10-08-007770-a","UA-2020-10-08-007770-a")</f>
        <v>UA-2020-10-08-007770-a</v>
      </c>
      <c r="C98" s="3">
        <v>44112</v>
      </c>
      <c r="D98" s="5"/>
      <c r="E98" s="5" t="s">
        <v>36</v>
      </c>
      <c r="F98" s="5" t="s">
        <v>22</v>
      </c>
      <c r="G98" s="5" t="s">
        <v>23</v>
      </c>
      <c r="H98" s="5" t="s">
        <v>24</v>
      </c>
      <c r="I98" s="5" t="s">
        <v>81</v>
      </c>
      <c r="J98" s="5" t="s">
        <v>137</v>
      </c>
      <c r="K98" s="5" t="s">
        <v>138</v>
      </c>
      <c r="L98" s="6">
        <v>906</v>
      </c>
      <c r="M98" s="5"/>
      <c r="N98" s="5" t="s">
        <v>28</v>
      </c>
      <c r="O98" s="5"/>
      <c r="P98" s="6">
        <v>4</v>
      </c>
      <c r="Q98" s="5" t="s">
        <v>111</v>
      </c>
      <c r="R98" s="5"/>
      <c r="S98" s="5" t="s">
        <v>24</v>
      </c>
      <c r="T98" s="5" t="s">
        <v>24</v>
      </c>
    </row>
    <row r="99" spans="1:20" ht="47.25" x14ac:dyDescent="0.25">
      <c r="A99" s="2" t="str">
        <f>HYPERLINK("https://smarttender.biz/publichni-zakupivli-prozorro/14017287","8207527")</f>
        <v>8207527</v>
      </c>
      <c r="B99" s="2" t="str">
        <f>HYPERLINK("https://prozorro.gov.ua/tender/UA-2020-11-17-004823-c","UA-2020-11-17-004823-c")</f>
        <v>UA-2020-11-17-004823-c</v>
      </c>
      <c r="C99" s="3">
        <v>44152</v>
      </c>
      <c r="D99" s="5"/>
      <c r="E99" s="5" t="s">
        <v>36</v>
      </c>
      <c r="F99" s="5" t="s">
        <v>22</v>
      </c>
      <c r="G99" s="5" t="s">
        <v>23</v>
      </c>
      <c r="H99" s="5" t="s">
        <v>24</v>
      </c>
      <c r="I99" s="5" t="s">
        <v>81</v>
      </c>
      <c r="J99" s="5" t="s">
        <v>115</v>
      </c>
      <c r="K99" s="5" t="s">
        <v>139</v>
      </c>
      <c r="L99" s="6">
        <v>9230.23</v>
      </c>
      <c r="M99" s="5"/>
      <c r="N99" s="5" t="s">
        <v>28</v>
      </c>
      <c r="O99" s="5"/>
      <c r="P99" s="6">
        <v>864</v>
      </c>
      <c r="Q99" s="5" t="s">
        <v>117</v>
      </c>
      <c r="R99" s="5"/>
      <c r="S99" s="5" t="s">
        <v>24</v>
      </c>
      <c r="T99" s="5" t="s">
        <v>24</v>
      </c>
    </row>
    <row r="100" spans="1:20" ht="47.25" x14ac:dyDescent="0.25">
      <c r="A100" s="2" t="str">
        <f>HYPERLINK("https://smarttender.biz/publichni-zakupivli-prozorro/14728841","8310360")</f>
        <v>8310360</v>
      </c>
      <c r="B100" s="2" t="str">
        <f>HYPERLINK("https://prozorro.gov.ua/tender/UA-2020-11-23-008439-c","UA-2020-11-23-008439-c")</f>
        <v>UA-2020-11-23-008439-c</v>
      </c>
      <c r="C100" s="3">
        <v>44158</v>
      </c>
      <c r="D100" s="5"/>
      <c r="E100" s="5" t="s">
        <v>36</v>
      </c>
      <c r="F100" s="5" t="s">
        <v>22</v>
      </c>
      <c r="G100" s="5" t="s">
        <v>23</v>
      </c>
      <c r="H100" s="5" t="s">
        <v>24</v>
      </c>
      <c r="I100" s="5" t="s">
        <v>81</v>
      </c>
      <c r="J100" s="5" t="s">
        <v>91</v>
      </c>
      <c r="K100" s="5" t="s">
        <v>140</v>
      </c>
      <c r="L100" s="6">
        <v>1977.36</v>
      </c>
      <c r="M100" s="5"/>
      <c r="N100" s="5" t="s">
        <v>64</v>
      </c>
      <c r="O100" s="5"/>
      <c r="P100" s="6">
        <v>2</v>
      </c>
      <c r="Q100" s="5" t="s">
        <v>84</v>
      </c>
      <c r="R100" s="5"/>
      <c r="S100" s="5" t="s">
        <v>24</v>
      </c>
      <c r="T100" s="5" t="s">
        <v>24</v>
      </c>
    </row>
    <row r="101" spans="1:20" ht="47.25" x14ac:dyDescent="0.25">
      <c r="A101" s="2" t="str">
        <f>HYPERLINK("https://smarttender.biz/publichni-zakupivli-prozorro/15112174","8513175")</f>
        <v>8513175</v>
      </c>
      <c r="B101" s="2" t="str">
        <f>HYPERLINK("https://prozorro.gov.ua/tender/UA-2020-12-03-010663-b","UA-2020-12-03-010663-b")</f>
        <v>UA-2020-12-03-010663-b</v>
      </c>
      <c r="C101" s="3">
        <v>44168</v>
      </c>
      <c r="D101" s="5"/>
      <c r="E101" s="5" t="s">
        <v>36</v>
      </c>
      <c r="F101" s="5" t="s">
        <v>22</v>
      </c>
      <c r="G101" s="5" t="s">
        <v>23</v>
      </c>
      <c r="H101" s="5" t="s">
        <v>24</v>
      </c>
      <c r="I101" s="5" t="s">
        <v>81</v>
      </c>
      <c r="J101" s="5" t="s">
        <v>141</v>
      </c>
      <c r="K101" s="5" t="s">
        <v>142</v>
      </c>
      <c r="L101" s="6">
        <v>1216</v>
      </c>
      <c r="M101" s="5"/>
      <c r="N101" s="5" t="s">
        <v>64</v>
      </c>
      <c r="O101" s="5"/>
      <c r="P101" s="6">
        <v>16</v>
      </c>
      <c r="Q101" s="5" t="s">
        <v>111</v>
      </c>
      <c r="R101" s="5"/>
      <c r="S101" s="5" t="s">
        <v>24</v>
      </c>
      <c r="T101" s="5" t="s">
        <v>24</v>
      </c>
    </row>
    <row r="102" spans="1:20" ht="47.25" x14ac:dyDescent="0.25">
      <c r="A102" s="2" t="str">
        <f>HYPERLINK("https://smarttender.biz/publichni-zakupivli-prozorro/13793831","8075327")</f>
        <v>8075327</v>
      </c>
      <c r="B102" s="2" t="str">
        <f>HYPERLINK("https://prozorro.gov.ua/tender/UA-2020-11-09-004594-c","UA-2020-11-09-004594-c")</f>
        <v>UA-2020-11-09-004594-c</v>
      </c>
      <c r="C102" s="3">
        <v>44144</v>
      </c>
      <c r="D102" s="5"/>
      <c r="E102" s="5" t="s">
        <v>36</v>
      </c>
      <c r="F102" s="5" t="s">
        <v>22</v>
      </c>
      <c r="G102" s="5" t="s">
        <v>23</v>
      </c>
      <c r="H102" s="5" t="s">
        <v>24</v>
      </c>
      <c r="I102" s="5" t="s">
        <v>81</v>
      </c>
      <c r="J102" s="5" t="s">
        <v>143</v>
      </c>
      <c r="K102" s="5" t="s">
        <v>144</v>
      </c>
      <c r="L102" s="6">
        <v>20000.240000000002</v>
      </c>
      <c r="M102" s="5"/>
      <c r="N102" s="5" t="s">
        <v>64</v>
      </c>
      <c r="O102" s="5"/>
      <c r="P102" s="6">
        <v>1</v>
      </c>
      <c r="Q102" s="5" t="s">
        <v>111</v>
      </c>
      <c r="R102" s="5"/>
      <c r="S102" s="5" t="s">
        <v>24</v>
      </c>
      <c r="T102" s="5" t="s">
        <v>24</v>
      </c>
    </row>
    <row r="103" spans="1:20" ht="47.25" x14ac:dyDescent="0.25">
      <c r="A103" s="2" t="str">
        <f>HYPERLINK("https://smarttender.biz/publichni-zakupivli-prozorro/13617016","7969720")</f>
        <v>7969720</v>
      </c>
      <c r="B103" s="2" t="str">
        <f>HYPERLINK("https://prozorro.gov.ua/tender/UA-2020-11-03-001015-c","UA-2020-11-03-001015-c")</f>
        <v>UA-2020-11-03-001015-c</v>
      </c>
      <c r="C103" s="3">
        <v>44138</v>
      </c>
      <c r="D103" s="5"/>
      <c r="E103" s="5" t="s">
        <v>36</v>
      </c>
      <c r="F103" s="5" t="s">
        <v>22</v>
      </c>
      <c r="G103" s="5" t="s">
        <v>23</v>
      </c>
      <c r="H103" s="5" t="s">
        <v>24</v>
      </c>
      <c r="I103" s="5" t="s">
        <v>81</v>
      </c>
      <c r="J103" s="5" t="s">
        <v>91</v>
      </c>
      <c r="K103" s="5" t="s">
        <v>140</v>
      </c>
      <c r="L103" s="6">
        <v>1977.36</v>
      </c>
      <c r="M103" s="5"/>
      <c r="N103" s="5" t="s">
        <v>28</v>
      </c>
      <c r="O103" s="5"/>
      <c r="P103" s="6">
        <v>2</v>
      </c>
      <c r="Q103" s="5" t="s">
        <v>84</v>
      </c>
      <c r="R103" s="5"/>
      <c r="S103" s="5" t="s">
        <v>24</v>
      </c>
      <c r="T103" s="5" t="s">
        <v>24</v>
      </c>
    </row>
    <row r="104" spans="1:20" ht="47.25" x14ac:dyDescent="0.25">
      <c r="A104" s="2" t="str">
        <f>HYPERLINK("https://smarttender.biz/publichni-zakupivli-prozorro/13605398","7963259")</f>
        <v>7963259</v>
      </c>
      <c r="B104" s="2" t="str">
        <f>HYPERLINK("https://prozorro.gov.ua/tender/UA-2020-11-02-007949-c","UA-2020-11-02-007949-c")</f>
        <v>UA-2020-11-02-007949-c</v>
      </c>
      <c r="C104" s="3">
        <v>44137</v>
      </c>
      <c r="D104" s="5"/>
      <c r="E104" s="5" t="s">
        <v>36</v>
      </c>
      <c r="F104" s="5" t="s">
        <v>22</v>
      </c>
      <c r="G104" s="5" t="s">
        <v>23</v>
      </c>
      <c r="H104" s="5" t="s">
        <v>24</v>
      </c>
      <c r="I104" s="5" t="s">
        <v>81</v>
      </c>
      <c r="J104" s="5" t="s">
        <v>91</v>
      </c>
      <c r="K104" s="5" t="s">
        <v>140</v>
      </c>
      <c r="L104" s="6">
        <v>1977.36</v>
      </c>
      <c r="M104" s="5"/>
      <c r="N104" s="5" t="s">
        <v>28</v>
      </c>
      <c r="O104" s="5"/>
      <c r="P104" s="6">
        <v>2</v>
      </c>
      <c r="Q104" s="5" t="s">
        <v>84</v>
      </c>
      <c r="R104" s="5"/>
      <c r="S104" s="5" t="s">
        <v>24</v>
      </c>
      <c r="T104" s="5" t="s">
        <v>24</v>
      </c>
    </row>
    <row r="105" spans="1:20" ht="47.25" x14ac:dyDescent="0.25">
      <c r="A105" s="2" t="str">
        <f>HYPERLINK("https://smarttender.biz/publichni-zakupivli-prozorro/15448321","8689953")</f>
        <v>8689953</v>
      </c>
      <c r="B105" s="2" t="str">
        <f>HYPERLINK("https://prozorro.gov.ua/tender/UA-2020-12-11-011879-c","UA-2020-12-11-011879-c")</f>
        <v>UA-2020-12-11-011879-c</v>
      </c>
      <c r="C105" s="3">
        <v>44176</v>
      </c>
      <c r="D105" s="5"/>
      <c r="E105" s="5" t="s">
        <v>36</v>
      </c>
      <c r="F105" s="5" t="s">
        <v>22</v>
      </c>
      <c r="G105" s="5" t="s">
        <v>23</v>
      </c>
      <c r="H105" s="5" t="s">
        <v>24</v>
      </c>
      <c r="I105" s="5" t="s">
        <v>81</v>
      </c>
      <c r="J105" s="5" t="s">
        <v>145</v>
      </c>
      <c r="K105" s="5" t="s">
        <v>146</v>
      </c>
      <c r="L105" s="6">
        <v>14400</v>
      </c>
      <c r="M105" s="5"/>
      <c r="N105" s="5" t="s">
        <v>28</v>
      </c>
      <c r="O105" s="5"/>
      <c r="P105" s="6">
        <v>360</v>
      </c>
      <c r="Q105" s="5" t="s">
        <v>84</v>
      </c>
      <c r="R105" s="5"/>
      <c r="S105" s="5" t="s">
        <v>24</v>
      </c>
      <c r="T105" s="5" t="s">
        <v>24</v>
      </c>
    </row>
    <row r="106" spans="1:20" ht="47.25" x14ac:dyDescent="0.25">
      <c r="A106" s="2" t="str">
        <f>HYPERLINK("https://smarttender.biz/publichni-zakupivli-prozorro/15259317","8591163")</f>
        <v>8591163</v>
      </c>
      <c r="B106" s="2" t="str">
        <f>HYPERLINK("https://prozorro.gov.ua/tender/UA-2020-12-08-006764-c","UA-2020-12-08-006764-c")</f>
        <v>UA-2020-12-08-006764-c</v>
      </c>
      <c r="C106" s="3">
        <v>44173</v>
      </c>
      <c r="D106" s="5"/>
      <c r="E106" s="5" t="s">
        <v>36</v>
      </c>
      <c r="F106" s="5" t="s">
        <v>22</v>
      </c>
      <c r="G106" s="5" t="s">
        <v>23</v>
      </c>
      <c r="H106" s="5" t="s">
        <v>24</v>
      </c>
      <c r="I106" s="5" t="s">
        <v>81</v>
      </c>
      <c r="J106" s="5" t="s">
        <v>42</v>
      </c>
      <c r="K106" s="5" t="s">
        <v>147</v>
      </c>
      <c r="L106" s="6">
        <v>944</v>
      </c>
      <c r="M106" s="5"/>
      <c r="N106" s="5" t="s">
        <v>64</v>
      </c>
      <c r="O106" s="5"/>
      <c r="P106" s="6">
        <v>160</v>
      </c>
      <c r="Q106" s="5" t="s">
        <v>29</v>
      </c>
      <c r="R106" s="5"/>
      <c r="S106" s="5" t="s">
        <v>24</v>
      </c>
      <c r="T106" s="5" t="s">
        <v>24</v>
      </c>
    </row>
    <row r="107" spans="1:20" ht="47.25" x14ac:dyDescent="0.25">
      <c r="A107" s="2" t="str">
        <f>HYPERLINK("https://smarttender.biz/publichni-zakupivli-prozorro/15135403","8525661")</f>
        <v>8525661</v>
      </c>
      <c r="B107" s="2" t="str">
        <f>HYPERLINK("https://prozorro.gov.ua/tender/UA-2020-12-04-002905-b","UA-2020-12-04-002905-b")</f>
        <v>UA-2020-12-04-002905-b</v>
      </c>
      <c r="C107" s="3">
        <v>44169</v>
      </c>
      <c r="D107" s="5"/>
      <c r="E107" s="5" t="s">
        <v>36</v>
      </c>
      <c r="F107" s="5" t="s">
        <v>22</v>
      </c>
      <c r="G107" s="5" t="s">
        <v>23</v>
      </c>
      <c r="H107" s="5" t="s">
        <v>24</v>
      </c>
      <c r="I107" s="5" t="s">
        <v>81</v>
      </c>
      <c r="J107" s="5" t="s">
        <v>148</v>
      </c>
      <c r="K107" s="5" t="s">
        <v>149</v>
      </c>
      <c r="L107" s="6">
        <v>364</v>
      </c>
      <c r="M107" s="5"/>
      <c r="N107" s="5" t="s">
        <v>64</v>
      </c>
      <c r="O107" s="5"/>
      <c r="P107" s="6">
        <v>364</v>
      </c>
      <c r="Q107" s="5" t="s">
        <v>29</v>
      </c>
      <c r="R107" s="5"/>
      <c r="S107" s="5" t="s">
        <v>24</v>
      </c>
      <c r="T107" s="5" t="s">
        <v>24</v>
      </c>
    </row>
    <row r="108" spans="1:20" ht="47.25" x14ac:dyDescent="0.25">
      <c r="A108" s="2" t="str">
        <f>HYPERLINK("https://smarttender.biz/publichni-zakupivli-prozorro/15204229","8561921")</f>
        <v>8561921</v>
      </c>
      <c r="B108" s="2" t="str">
        <f>HYPERLINK("https://prozorro.gov.ua/tender/UA-2020-12-07-007333-b","UA-2020-12-07-007333-b")</f>
        <v>UA-2020-12-07-007333-b</v>
      </c>
      <c r="C108" s="3">
        <v>44172</v>
      </c>
      <c r="D108" s="5"/>
      <c r="E108" s="5" t="s">
        <v>36</v>
      </c>
      <c r="F108" s="5" t="s">
        <v>22</v>
      </c>
      <c r="G108" s="5" t="s">
        <v>23</v>
      </c>
      <c r="H108" s="5" t="s">
        <v>24</v>
      </c>
      <c r="I108" s="5" t="s">
        <v>81</v>
      </c>
      <c r="J108" s="5" t="s">
        <v>141</v>
      </c>
      <c r="K108" s="5" t="s">
        <v>150</v>
      </c>
      <c r="L108" s="6">
        <v>2223</v>
      </c>
      <c r="M108" s="5"/>
      <c r="N108" s="5" t="s">
        <v>28</v>
      </c>
      <c r="O108" s="5"/>
      <c r="P108" s="6">
        <v>39</v>
      </c>
      <c r="Q108" s="5" t="s">
        <v>111</v>
      </c>
      <c r="R108" s="5"/>
      <c r="S108" s="5" t="s">
        <v>24</v>
      </c>
      <c r="T108" s="5" t="s">
        <v>24</v>
      </c>
    </row>
    <row r="109" spans="1:20" ht="47.25" x14ac:dyDescent="0.25">
      <c r="A109" s="2" t="str">
        <f>HYPERLINK("https://smarttender.biz/publichni-zakupivli-prozorro/15677594","8809307")</f>
        <v>8809307</v>
      </c>
      <c r="B109" s="2" t="str">
        <f>HYPERLINK("https://prozorro.gov.ua/tender/UA-2020-12-17-005847-c","UA-2020-12-17-005847-c")</f>
        <v>UA-2020-12-17-005847-c</v>
      </c>
      <c r="C109" s="3">
        <v>44182</v>
      </c>
      <c r="D109" s="5"/>
      <c r="E109" s="5" t="s">
        <v>36</v>
      </c>
      <c r="F109" s="5" t="s">
        <v>22</v>
      </c>
      <c r="G109" s="5" t="s">
        <v>23</v>
      </c>
      <c r="H109" s="5" t="s">
        <v>24</v>
      </c>
      <c r="I109" s="5" t="s">
        <v>81</v>
      </c>
      <c r="J109" s="5" t="s">
        <v>66</v>
      </c>
      <c r="K109" s="5" t="s">
        <v>151</v>
      </c>
      <c r="L109" s="6">
        <v>10500</v>
      </c>
      <c r="M109" s="5"/>
      <c r="N109" s="5" t="s">
        <v>64</v>
      </c>
      <c r="O109" s="5"/>
      <c r="P109" s="6">
        <v>700</v>
      </c>
      <c r="Q109" s="5" t="s">
        <v>84</v>
      </c>
      <c r="R109" s="5"/>
      <c r="S109" s="5" t="s">
        <v>24</v>
      </c>
      <c r="T109" s="5" t="s">
        <v>24</v>
      </c>
    </row>
    <row r="110" spans="1:20" ht="47.25" x14ac:dyDescent="0.25">
      <c r="A110" s="2" t="str">
        <f>HYPERLINK("https://smarttender.biz/publichni-zakupivli-prozorro/15770773","8871259")</f>
        <v>8871259</v>
      </c>
      <c r="B110" s="2" t="str">
        <f>HYPERLINK("https://prozorro.gov.ua/tender/UA-2020-12-18-016210-c","UA-2020-12-18-016210-c")</f>
        <v>UA-2020-12-18-016210-c</v>
      </c>
      <c r="C110" s="3">
        <v>44185</v>
      </c>
      <c r="D110" s="5"/>
      <c r="E110" s="5" t="s">
        <v>36</v>
      </c>
      <c r="F110" s="5" t="s">
        <v>22</v>
      </c>
      <c r="G110" s="5" t="s">
        <v>23</v>
      </c>
      <c r="H110" s="5" t="s">
        <v>24</v>
      </c>
      <c r="I110" s="5" t="s">
        <v>81</v>
      </c>
      <c r="J110" s="5" t="s">
        <v>93</v>
      </c>
      <c r="K110" s="5" t="s">
        <v>152</v>
      </c>
      <c r="L110" s="6">
        <v>8360</v>
      </c>
      <c r="M110" s="5"/>
      <c r="N110" s="5" t="s">
        <v>64</v>
      </c>
      <c r="O110" s="5"/>
      <c r="P110" s="6">
        <v>20</v>
      </c>
      <c r="Q110" s="5" t="s">
        <v>84</v>
      </c>
      <c r="R110" s="5"/>
      <c r="S110" s="5" t="s">
        <v>24</v>
      </c>
      <c r="T110" s="5" t="s">
        <v>24</v>
      </c>
    </row>
    <row r="111" spans="1:20" ht="47.25" x14ac:dyDescent="0.25">
      <c r="A111" s="2" t="str">
        <f>HYPERLINK("https://smarttender.biz/publichni-zakupivli-prozorro/16412077","9214854")</f>
        <v>9214854</v>
      </c>
      <c r="B111" s="2" t="str">
        <f>HYPERLINK("https://prozorro.gov.ua/tender/UA-2021-01-20-002825-b","UA-2021-01-20-002825-b")</f>
        <v>UA-2021-01-20-002825-b</v>
      </c>
      <c r="C111" s="3">
        <v>44216</v>
      </c>
      <c r="D111" s="5"/>
      <c r="E111" s="5" t="s">
        <v>36</v>
      </c>
      <c r="F111" s="5" t="s">
        <v>22</v>
      </c>
      <c r="G111" s="5" t="s">
        <v>23</v>
      </c>
      <c r="H111" s="5" t="s">
        <v>24</v>
      </c>
      <c r="I111" s="5" t="s">
        <v>81</v>
      </c>
      <c r="J111" s="5" t="s">
        <v>153</v>
      </c>
      <c r="K111" s="5" t="s">
        <v>154</v>
      </c>
      <c r="L111" s="6">
        <v>6468</v>
      </c>
      <c r="M111" s="5"/>
      <c r="N111" s="5" t="s">
        <v>28</v>
      </c>
      <c r="O111" s="5"/>
      <c r="P111" s="6">
        <v>1</v>
      </c>
      <c r="Q111" s="5" t="s">
        <v>111</v>
      </c>
      <c r="R111" s="5"/>
      <c r="S111" s="5" t="s">
        <v>24</v>
      </c>
      <c r="T111" s="5" t="s">
        <v>24</v>
      </c>
    </row>
    <row r="112" spans="1:20" ht="47.25" x14ac:dyDescent="0.25">
      <c r="A112" s="2" t="str">
        <f>HYPERLINK("https://smarttender.biz/publichni-zakupivli-prozorro/16355667","9183669")</f>
        <v>9183669</v>
      </c>
      <c r="B112" s="2" t="str">
        <f>HYPERLINK("https://prozorro.gov.ua/tender/UA-2021-01-18-000514-a","UA-2021-01-18-000514-a")</f>
        <v>UA-2021-01-18-000514-a</v>
      </c>
      <c r="C112" s="3">
        <v>44214</v>
      </c>
      <c r="D112" s="5"/>
      <c r="E112" s="5" t="s">
        <v>36</v>
      </c>
      <c r="F112" s="5" t="s">
        <v>22</v>
      </c>
      <c r="G112" s="5" t="s">
        <v>23</v>
      </c>
      <c r="H112" s="5" t="s">
        <v>24</v>
      </c>
      <c r="I112" s="5" t="s">
        <v>81</v>
      </c>
      <c r="J112" s="5" t="s">
        <v>60</v>
      </c>
      <c r="K112" s="5" t="s">
        <v>155</v>
      </c>
      <c r="L112" s="6">
        <v>9720</v>
      </c>
      <c r="M112" s="5"/>
      <c r="N112" s="5" t="s">
        <v>64</v>
      </c>
      <c r="O112" s="5"/>
      <c r="P112" s="6">
        <v>600</v>
      </c>
      <c r="Q112" s="5" t="s">
        <v>29</v>
      </c>
      <c r="R112" s="5"/>
      <c r="S112" s="5" t="s">
        <v>24</v>
      </c>
      <c r="T112" s="5" t="s">
        <v>24</v>
      </c>
    </row>
    <row r="113" spans="1:20" ht="47.25" x14ac:dyDescent="0.25">
      <c r="A113" s="2" t="str">
        <f>HYPERLINK("https://smarttender.biz/publichni-zakupivli-prozorro/16355515","9183593")</f>
        <v>9183593</v>
      </c>
      <c r="B113" s="2" t="str">
        <f>HYPERLINK("https://prozorro.gov.ua/tender/UA-2021-01-18-000465-a","UA-2021-01-18-000465-a")</f>
        <v>UA-2021-01-18-000465-a</v>
      </c>
      <c r="C113" s="3">
        <v>44214</v>
      </c>
      <c r="D113" s="5"/>
      <c r="E113" s="5" t="s">
        <v>36</v>
      </c>
      <c r="F113" s="5" t="s">
        <v>22</v>
      </c>
      <c r="G113" s="5" t="s">
        <v>23</v>
      </c>
      <c r="H113" s="5" t="s">
        <v>24</v>
      </c>
      <c r="I113" s="5" t="s">
        <v>81</v>
      </c>
      <c r="J113" s="5" t="s">
        <v>156</v>
      </c>
      <c r="K113" s="5" t="s">
        <v>157</v>
      </c>
      <c r="L113" s="6">
        <v>26000</v>
      </c>
      <c r="M113" s="5"/>
      <c r="N113" s="5" t="s">
        <v>64</v>
      </c>
      <c r="O113" s="5"/>
      <c r="P113" s="6">
        <v>1300</v>
      </c>
      <c r="Q113" s="5" t="s">
        <v>29</v>
      </c>
      <c r="R113" s="5"/>
      <c r="S113" s="5" t="s">
        <v>24</v>
      </c>
      <c r="T113" s="5" t="s">
        <v>24</v>
      </c>
    </row>
    <row r="114" spans="1:20" ht="47.25" x14ac:dyDescent="0.25">
      <c r="A114" s="2" t="str">
        <f>HYPERLINK("https://smarttender.biz/publichni-zakupivli-prozorro/16355535","9183613")</f>
        <v>9183613</v>
      </c>
      <c r="B114" s="2" t="str">
        <f>HYPERLINK("https://prozorro.gov.ua/tender/UA-2021-01-18-000484-a","UA-2021-01-18-000484-a")</f>
        <v>UA-2021-01-18-000484-a</v>
      </c>
      <c r="C114" s="3">
        <v>44214</v>
      </c>
      <c r="D114" s="5"/>
      <c r="E114" s="5" t="s">
        <v>36</v>
      </c>
      <c r="F114" s="5" t="s">
        <v>22</v>
      </c>
      <c r="G114" s="5" t="s">
        <v>23</v>
      </c>
      <c r="H114" s="5" t="s">
        <v>24</v>
      </c>
      <c r="I114" s="5" t="s">
        <v>81</v>
      </c>
      <c r="J114" s="5" t="s">
        <v>158</v>
      </c>
      <c r="K114" s="5" t="s">
        <v>159</v>
      </c>
      <c r="L114" s="6">
        <v>42720</v>
      </c>
      <c r="M114" s="5"/>
      <c r="N114" s="5" t="s">
        <v>64</v>
      </c>
      <c r="O114" s="5"/>
      <c r="P114" s="6">
        <v>12000</v>
      </c>
      <c r="Q114" s="5" t="s">
        <v>84</v>
      </c>
      <c r="R114" s="5"/>
      <c r="S114" s="5" t="s">
        <v>24</v>
      </c>
      <c r="T114" s="5" t="s">
        <v>24</v>
      </c>
    </row>
    <row r="115" spans="1:20" ht="47.25" x14ac:dyDescent="0.25">
      <c r="A115" s="2" t="str">
        <f>HYPERLINK("https://smarttender.biz/publichni-zakupivli-prozorro/16356868","9184351")</f>
        <v>9184351</v>
      </c>
      <c r="B115" s="2" t="str">
        <f>HYPERLINK("https://prozorro.gov.ua/tender/UA-2021-01-18-000840-a","UA-2021-01-18-000840-a")</f>
        <v>UA-2021-01-18-000840-a</v>
      </c>
      <c r="C115" s="3">
        <v>44214</v>
      </c>
      <c r="D115" s="5"/>
      <c r="E115" s="5" t="s">
        <v>36</v>
      </c>
      <c r="F115" s="5" t="s">
        <v>22</v>
      </c>
      <c r="G115" s="5" t="s">
        <v>23</v>
      </c>
      <c r="H115" s="5" t="s">
        <v>24</v>
      </c>
      <c r="I115" s="5" t="s">
        <v>81</v>
      </c>
      <c r="J115" s="5" t="s">
        <v>160</v>
      </c>
      <c r="K115" s="5" t="s">
        <v>161</v>
      </c>
      <c r="L115" s="6">
        <v>42930</v>
      </c>
      <c r="M115" s="5"/>
      <c r="N115" s="5" t="s">
        <v>28</v>
      </c>
      <c r="O115" s="5"/>
      <c r="P115" s="6">
        <v>1050</v>
      </c>
      <c r="Q115" s="5" t="s">
        <v>29</v>
      </c>
      <c r="R115" s="5"/>
      <c r="S115" s="5" t="s">
        <v>24</v>
      </c>
      <c r="T115" s="5" t="s">
        <v>24</v>
      </c>
    </row>
    <row r="116" spans="1:20" ht="47.25" x14ac:dyDescent="0.25">
      <c r="A116" s="2" t="str">
        <f>HYPERLINK("https://smarttender.biz/publichni-zakupivli-prozorro/16357055","9184445")</f>
        <v>9184445</v>
      </c>
      <c r="B116" s="2" t="str">
        <f>HYPERLINK("https://prozorro.gov.ua/tender/UA-2021-01-18-000897-a","UA-2021-01-18-000897-a")</f>
        <v>UA-2021-01-18-000897-a</v>
      </c>
      <c r="C116" s="3">
        <v>44214</v>
      </c>
      <c r="D116" s="5"/>
      <c r="E116" s="5" t="s">
        <v>36</v>
      </c>
      <c r="F116" s="5" t="s">
        <v>22</v>
      </c>
      <c r="G116" s="5" t="s">
        <v>23</v>
      </c>
      <c r="H116" s="5" t="s">
        <v>24</v>
      </c>
      <c r="I116" s="5" t="s">
        <v>81</v>
      </c>
      <c r="J116" s="5" t="s">
        <v>148</v>
      </c>
      <c r="K116" s="5" t="s">
        <v>149</v>
      </c>
      <c r="L116" s="6">
        <v>4268</v>
      </c>
      <c r="M116" s="5"/>
      <c r="N116" s="5" t="s">
        <v>64</v>
      </c>
      <c r="O116" s="5"/>
      <c r="P116" s="6">
        <v>220</v>
      </c>
      <c r="Q116" s="5" t="s">
        <v>29</v>
      </c>
      <c r="R116" s="5"/>
      <c r="S116" s="5" t="s">
        <v>24</v>
      </c>
      <c r="T116" s="5" t="s">
        <v>24</v>
      </c>
    </row>
    <row r="117" spans="1:20" ht="47.25" x14ac:dyDescent="0.25">
      <c r="A117" s="2" t="str">
        <f>HYPERLINK("https://smarttender.biz/publichni-zakupivli-prozorro/16357229","9184546")</f>
        <v>9184546</v>
      </c>
      <c r="B117" s="2" t="str">
        <f>HYPERLINK("https://prozorro.gov.ua/tender/UA-2021-01-18-000924-a","UA-2021-01-18-000924-a")</f>
        <v>UA-2021-01-18-000924-a</v>
      </c>
      <c r="C117" s="3">
        <v>44214</v>
      </c>
      <c r="D117" s="5"/>
      <c r="E117" s="5" t="s">
        <v>36</v>
      </c>
      <c r="F117" s="5" t="s">
        <v>22</v>
      </c>
      <c r="G117" s="5" t="s">
        <v>23</v>
      </c>
      <c r="H117" s="5" t="s">
        <v>24</v>
      </c>
      <c r="I117" s="5" t="s">
        <v>81</v>
      </c>
      <c r="J117" s="5" t="s">
        <v>145</v>
      </c>
      <c r="K117" s="5" t="s">
        <v>162</v>
      </c>
      <c r="L117" s="6">
        <v>7750</v>
      </c>
      <c r="M117" s="5"/>
      <c r="N117" s="5" t="s">
        <v>64</v>
      </c>
      <c r="O117" s="5"/>
      <c r="P117" s="6">
        <v>25</v>
      </c>
      <c r="Q117" s="5" t="s">
        <v>29</v>
      </c>
      <c r="R117" s="5"/>
      <c r="S117" s="5" t="s">
        <v>24</v>
      </c>
      <c r="T117" s="5" t="s">
        <v>24</v>
      </c>
    </row>
    <row r="118" spans="1:20" ht="47.25" x14ac:dyDescent="0.25">
      <c r="A118" s="2" t="str">
        <f>HYPERLINK("https://smarttender.biz/publichni-zakupivli-prozorro/16355800","9183749")</f>
        <v>9183749</v>
      </c>
      <c r="B118" s="2" t="str">
        <f>HYPERLINK("https://prozorro.gov.ua/tender/UA-2021-01-18-000551-a","UA-2021-01-18-000551-a")</f>
        <v>UA-2021-01-18-000551-a</v>
      </c>
      <c r="C118" s="3">
        <v>44214</v>
      </c>
      <c r="D118" s="5"/>
      <c r="E118" s="5" t="s">
        <v>32</v>
      </c>
      <c r="F118" s="5" t="s">
        <v>22</v>
      </c>
      <c r="G118" s="5" t="s">
        <v>23</v>
      </c>
      <c r="H118" s="5" t="s">
        <v>24</v>
      </c>
      <c r="I118" s="5" t="s">
        <v>81</v>
      </c>
      <c r="J118" s="5" t="s">
        <v>163</v>
      </c>
      <c r="K118" s="5" t="s">
        <v>164</v>
      </c>
      <c r="L118" s="6">
        <v>22815</v>
      </c>
      <c r="M118" s="5"/>
      <c r="N118" s="5" t="s">
        <v>64</v>
      </c>
      <c r="O118" s="5"/>
      <c r="P118" s="6">
        <v>1300</v>
      </c>
      <c r="Q118" s="5" t="s">
        <v>73</v>
      </c>
      <c r="R118" s="5"/>
      <c r="S118" s="5" t="s">
        <v>24</v>
      </c>
      <c r="T118" s="5" t="s">
        <v>24</v>
      </c>
    </row>
    <row r="119" spans="1:20" ht="47.25" x14ac:dyDescent="0.25">
      <c r="A119" s="2" t="str">
        <f>HYPERLINK("https://smarttender.biz/publichni-zakupivli-prozorro/16356689","9184258")</f>
        <v>9184258</v>
      </c>
      <c r="B119" s="2" t="str">
        <f>HYPERLINK("https://prozorro.gov.ua/tender/UA-2021-01-18-000791-a","UA-2021-01-18-000791-a")</f>
        <v>UA-2021-01-18-000791-a</v>
      </c>
      <c r="C119" s="3">
        <v>44214</v>
      </c>
      <c r="D119" s="5"/>
      <c r="E119" s="5" t="s">
        <v>36</v>
      </c>
      <c r="F119" s="5" t="s">
        <v>22</v>
      </c>
      <c r="G119" s="5" t="s">
        <v>23</v>
      </c>
      <c r="H119" s="5" t="s">
        <v>24</v>
      </c>
      <c r="I119" s="5" t="s">
        <v>81</v>
      </c>
      <c r="J119" s="5" t="s">
        <v>165</v>
      </c>
      <c r="K119" s="5" t="s">
        <v>166</v>
      </c>
      <c r="L119" s="6">
        <v>11000</v>
      </c>
      <c r="M119" s="5"/>
      <c r="N119" s="5" t="s">
        <v>64</v>
      </c>
      <c r="O119" s="5"/>
      <c r="P119" s="6">
        <v>250</v>
      </c>
      <c r="Q119" s="5" t="s">
        <v>29</v>
      </c>
      <c r="R119" s="5"/>
      <c r="S119" s="5" t="s">
        <v>24</v>
      </c>
      <c r="T119" s="5" t="s">
        <v>24</v>
      </c>
    </row>
    <row r="120" spans="1:20" ht="47.25" x14ac:dyDescent="0.25">
      <c r="A120" s="2" t="str">
        <f>HYPERLINK("https://smarttender.biz/publichni-zakupivli-prozorro/16356653","9184222")</f>
        <v>9184222</v>
      </c>
      <c r="B120" s="2" t="str">
        <f>HYPERLINK("https://prozorro.gov.ua/tender/UA-2021-01-18-000780-a","UA-2021-01-18-000780-a")</f>
        <v>UA-2021-01-18-000780-a</v>
      </c>
      <c r="C120" s="3">
        <v>44214</v>
      </c>
      <c r="D120" s="5"/>
      <c r="E120" s="5" t="s">
        <v>36</v>
      </c>
      <c r="F120" s="5" t="s">
        <v>22</v>
      </c>
      <c r="G120" s="5" t="s">
        <v>23</v>
      </c>
      <c r="H120" s="5" t="s">
        <v>24</v>
      </c>
      <c r="I120" s="5" t="s">
        <v>81</v>
      </c>
      <c r="J120" s="5" t="s">
        <v>167</v>
      </c>
      <c r="K120" s="5" t="s">
        <v>168</v>
      </c>
      <c r="L120" s="6">
        <v>3636</v>
      </c>
      <c r="M120" s="5"/>
      <c r="N120" s="5" t="s">
        <v>64</v>
      </c>
      <c r="O120" s="5"/>
      <c r="P120" s="6">
        <v>24</v>
      </c>
      <c r="Q120" s="5" t="s">
        <v>29</v>
      </c>
      <c r="R120" s="5"/>
      <c r="S120" s="5" t="s">
        <v>24</v>
      </c>
      <c r="T120" s="5" t="s">
        <v>24</v>
      </c>
    </row>
    <row r="121" spans="1:20" ht="47.25" x14ac:dyDescent="0.25">
      <c r="A121" s="2" t="str">
        <f>HYPERLINK("https://smarttender.biz/publichni-zakupivli-prozorro/16357013","9184403")</f>
        <v>9184403</v>
      </c>
      <c r="B121" s="2" t="str">
        <f>HYPERLINK("https://prozorro.gov.ua/tender/UA-2021-01-18-000869-a","UA-2021-01-18-000869-a")</f>
        <v>UA-2021-01-18-000869-a</v>
      </c>
      <c r="C121" s="3">
        <v>44214</v>
      </c>
      <c r="D121" s="5"/>
      <c r="E121" s="5" t="s">
        <v>36</v>
      </c>
      <c r="F121" s="5" t="s">
        <v>22</v>
      </c>
      <c r="G121" s="5" t="s">
        <v>23</v>
      </c>
      <c r="H121" s="5" t="s">
        <v>24</v>
      </c>
      <c r="I121" s="5" t="s">
        <v>81</v>
      </c>
      <c r="J121" s="5" t="s">
        <v>169</v>
      </c>
      <c r="K121" s="5" t="s">
        <v>170</v>
      </c>
      <c r="L121" s="6">
        <v>6050</v>
      </c>
      <c r="M121" s="5"/>
      <c r="N121" s="5" t="s">
        <v>64</v>
      </c>
      <c r="O121" s="5"/>
      <c r="P121" s="6">
        <v>6050</v>
      </c>
      <c r="Q121" s="5" t="s">
        <v>29</v>
      </c>
      <c r="R121" s="5"/>
      <c r="S121" s="5" t="s">
        <v>24</v>
      </c>
      <c r="T121" s="5" t="s">
        <v>24</v>
      </c>
    </row>
    <row r="122" spans="1:20" ht="47.25" x14ac:dyDescent="0.25">
      <c r="A122" s="2" t="str">
        <f>HYPERLINK("https://smarttender.biz/publichni-zakupivli-prozorro/16357391","9184617")</f>
        <v>9184617</v>
      </c>
      <c r="B122" s="2" t="str">
        <f>HYPERLINK("https://prozorro.gov.ua/tender/UA-2021-01-18-000974-a","UA-2021-01-18-000974-a")</f>
        <v>UA-2021-01-18-000974-a</v>
      </c>
      <c r="C122" s="3">
        <v>44214</v>
      </c>
      <c r="D122" s="5"/>
      <c r="E122" s="5" t="s">
        <v>36</v>
      </c>
      <c r="F122" s="5" t="s">
        <v>22</v>
      </c>
      <c r="G122" s="5" t="s">
        <v>23</v>
      </c>
      <c r="H122" s="5" t="s">
        <v>24</v>
      </c>
      <c r="I122" s="5" t="s">
        <v>81</v>
      </c>
      <c r="J122" s="5" t="s">
        <v>115</v>
      </c>
      <c r="K122" s="5" t="s">
        <v>139</v>
      </c>
      <c r="L122" s="6">
        <v>72650.52</v>
      </c>
      <c r="M122" s="5"/>
      <c r="N122" s="5" t="s">
        <v>28</v>
      </c>
      <c r="O122" s="5"/>
      <c r="P122" s="6">
        <v>6301</v>
      </c>
      <c r="Q122" s="5" t="s">
        <v>117</v>
      </c>
      <c r="R122" s="5"/>
      <c r="S122" s="5" t="s">
        <v>24</v>
      </c>
      <c r="T122" s="5" t="s">
        <v>24</v>
      </c>
    </row>
    <row r="123" spans="1:20" ht="47.25" x14ac:dyDescent="0.25">
      <c r="A123" s="2" t="str">
        <f>HYPERLINK("https://smarttender.biz/publichni-zakupivli-prozorro/16357624","9184749")</f>
        <v>9184749</v>
      </c>
      <c r="B123" s="2" t="str">
        <f>HYPERLINK("https://prozorro.gov.ua/tender/UA-2021-01-18-001038-a","UA-2021-01-18-001038-a")</f>
        <v>UA-2021-01-18-001038-a</v>
      </c>
      <c r="C123" s="3">
        <v>44214</v>
      </c>
      <c r="D123" s="5"/>
      <c r="E123" s="5" t="s">
        <v>36</v>
      </c>
      <c r="F123" s="5" t="s">
        <v>22</v>
      </c>
      <c r="G123" s="5" t="s">
        <v>23</v>
      </c>
      <c r="H123" s="5" t="s">
        <v>24</v>
      </c>
      <c r="I123" s="5" t="s">
        <v>81</v>
      </c>
      <c r="J123" s="5" t="s">
        <v>163</v>
      </c>
      <c r="K123" s="5" t="s">
        <v>164</v>
      </c>
      <c r="L123" s="6">
        <v>22815</v>
      </c>
      <c r="M123" s="5"/>
      <c r="N123" s="5" t="s">
        <v>64</v>
      </c>
      <c r="O123" s="5"/>
      <c r="P123" s="6">
        <v>1300</v>
      </c>
      <c r="Q123" s="5" t="s">
        <v>73</v>
      </c>
      <c r="R123" s="5"/>
      <c r="S123" s="5" t="s">
        <v>24</v>
      </c>
      <c r="T123" s="5" t="s">
        <v>24</v>
      </c>
    </row>
    <row r="124" spans="1:20" ht="47.25" x14ac:dyDescent="0.25">
      <c r="A124" s="2" t="str">
        <f>HYPERLINK("https://smarttender.biz/publichni-zakupivli-prozorro/16275097","9137150")</f>
        <v>9137150</v>
      </c>
      <c r="B124" s="2" t="str">
        <f>HYPERLINK("https://prozorro.gov.ua/tender/UA-2021-01-11-003682-a","UA-2021-01-11-003682-a")</f>
        <v>UA-2021-01-11-003682-a</v>
      </c>
      <c r="C124" s="3">
        <v>44207</v>
      </c>
      <c r="D124" s="5"/>
      <c r="E124" s="5" t="s">
        <v>36</v>
      </c>
      <c r="F124" s="5" t="s">
        <v>22</v>
      </c>
      <c r="G124" s="5" t="s">
        <v>23</v>
      </c>
      <c r="H124" s="5" t="s">
        <v>24</v>
      </c>
      <c r="I124" s="5" t="s">
        <v>101</v>
      </c>
      <c r="J124" s="5" t="s">
        <v>102</v>
      </c>
      <c r="K124" s="5" t="s">
        <v>171</v>
      </c>
      <c r="L124" s="6">
        <v>474271.33</v>
      </c>
      <c r="M124" s="5"/>
      <c r="N124" s="5" t="s">
        <v>28</v>
      </c>
      <c r="O124" s="5"/>
      <c r="P124" s="6">
        <v>273.654</v>
      </c>
      <c r="Q124" s="5" t="s">
        <v>104</v>
      </c>
      <c r="R124" s="5"/>
      <c r="S124" s="5" t="s">
        <v>24</v>
      </c>
      <c r="T124" s="5" t="s">
        <v>24</v>
      </c>
    </row>
    <row r="125" spans="1:20" ht="47.25" x14ac:dyDescent="0.25">
      <c r="A125" s="2" t="str">
        <f>HYPERLINK("https://smarttender.biz/publichni-zakupivli-prozorro/16434105","9226806")</f>
        <v>9226806</v>
      </c>
      <c r="B125" s="2" t="str">
        <f>HYPERLINK("https://prozorro.gov.ua/tender/UA-2021-01-21-000719-b","UA-2021-01-21-000719-b")</f>
        <v>UA-2021-01-21-000719-b</v>
      </c>
      <c r="C125" s="3">
        <v>44217</v>
      </c>
      <c r="D125" s="5"/>
      <c r="E125" s="5" t="s">
        <v>36</v>
      </c>
      <c r="F125" s="5" t="s">
        <v>22</v>
      </c>
      <c r="G125" s="5" t="s">
        <v>23</v>
      </c>
      <c r="H125" s="5" t="s">
        <v>24</v>
      </c>
      <c r="I125" s="5" t="s">
        <v>81</v>
      </c>
      <c r="J125" s="5" t="s">
        <v>137</v>
      </c>
      <c r="K125" s="5" t="s">
        <v>172</v>
      </c>
      <c r="L125" s="6">
        <v>5280</v>
      </c>
      <c r="M125" s="5"/>
      <c r="N125" s="5" t="s">
        <v>28</v>
      </c>
      <c r="O125" s="5"/>
      <c r="P125" s="6">
        <v>4</v>
      </c>
      <c r="Q125" s="5" t="s">
        <v>111</v>
      </c>
      <c r="R125" s="5"/>
      <c r="S125" s="5" t="s">
        <v>24</v>
      </c>
      <c r="T125" s="5" t="s">
        <v>24</v>
      </c>
    </row>
    <row r="126" spans="1:20" ht="47.25" x14ac:dyDescent="0.25">
      <c r="A126" s="2" t="str">
        <f>HYPERLINK("https://smarttender.biz/publichni-zakupivli-prozorro/16458773","9240473")</f>
        <v>9240473</v>
      </c>
      <c r="B126" s="2" t="str">
        <f>HYPERLINK("https://prozorro.gov.ua/tender/UA-2021-01-21-009548-b","UA-2021-01-21-009548-b")</f>
        <v>UA-2021-01-21-009548-b</v>
      </c>
      <c r="C126" s="3">
        <v>44217</v>
      </c>
      <c r="D126" s="5"/>
      <c r="E126" s="5" t="s">
        <v>36</v>
      </c>
      <c r="F126" s="5" t="s">
        <v>22</v>
      </c>
      <c r="G126" s="5" t="s">
        <v>23</v>
      </c>
      <c r="H126" s="5" t="s">
        <v>24</v>
      </c>
      <c r="I126" s="5" t="s">
        <v>81</v>
      </c>
      <c r="J126" s="5" t="s">
        <v>173</v>
      </c>
      <c r="K126" s="5" t="s">
        <v>174</v>
      </c>
      <c r="L126" s="6">
        <v>68199.42</v>
      </c>
      <c r="M126" s="5"/>
      <c r="N126" s="5" t="s">
        <v>28</v>
      </c>
      <c r="O126" s="5"/>
      <c r="P126" s="6">
        <v>2</v>
      </c>
      <c r="Q126" s="5" t="s">
        <v>111</v>
      </c>
      <c r="R126" s="5"/>
      <c r="S126" s="5" t="s">
        <v>24</v>
      </c>
      <c r="T126" s="5" t="s">
        <v>24</v>
      </c>
    </row>
    <row r="127" spans="1:20" ht="47.25" x14ac:dyDescent="0.25">
      <c r="A127" s="2" t="str">
        <f>HYPERLINK("https://smarttender.biz/publichni-zakupivli-prozorro/16450455","9235861")</f>
        <v>9235861</v>
      </c>
      <c r="B127" s="2" t="str">
        <f>HYPERLINK("https://prozorro.gov.ua/tender/UA-2021-01-21-006554-b","UA-2021-01-21-006554-b")</f>
        <v>UA-2021-01-21-006554-b</v>
      </c>
      <c r="C127" s="3">
        <v>44217</v>
      </c>
      <c r="D127" s="5"/>
      <c r="E127" s="5" t="s">
        <v>36</v>
      </c>
      <c r="F127" s="5" t="s">
        <v>22</v>
      </c>
      <c r="G127" s="5" t="s">
        <v>23</v>
      </c>
      <c r="H127" s="5" t="s">
        <v>24</v>
      </c>
      <c r="I127" s="5" t="s">
        <v>81</v>
      </c>
      <c r="J127" s="5" t="s">
        <v>173</v>
      </c>
      <c r="K127" s="5" t="s">
        <v>175</v>
      </c>
      <c r="L127" s="6">
        <v>68199.42</v>
      </c>
      <c r="M127" s="5"/>
      <c r="N127" s="5" t="s">
        <v>28</v>
      </c>
      <c r="O127" s="5"/>
      <c r="P127" s="6">
        <v>2</v>
      </c>
      <c r="Q127" s="5" t="s">
        <v>111</v>
      </c>
      <c r="R127" s="5"/>
      <c r="S127" s="5" t="s">
        <v>24</v>
      </c>
      <c r="T127" s="5" t="s">
        <v>24</v>
      </c>
    </row>
    <row r="128" spans="1:20" ht="47.25" x14ac:dyDescent="0.25">
      <c r="A128" s="2" t="str">
        <f>HYPERLINK("https://smarttender.biz/publichni-zakupivli-prozorro/16489456","9257218")</f>
        <v>9257218</v>
      </c>
      <c r="B128" s="2" t="str">
        <f>HYPERLINK("https://prozorro.gov.ua/tender/UA-2021-01-22-008604-b","UA-2021-01-22-008604-b")</f>
        <v>UA-2021-01-22-008604-b</v>
      </c>
      <c r="C128" s="3">
        <v>44218</v>
      </c>
      <c r="D128" s="5"/>
      <c r="E128" s="5" t="s">
        <v>36</v>
      </c>
      <c r="F128" s="5" t="s">
        <v>22</v>
      </c>
      <c r="G128" s="5" t="s">
        <v>23</v>
      </c>
      <c r="H128" s="5" t="s">
        <v>24</v>
      </c>
      <c r="I128" s="5" t="s">
        <v>81</v>
      </c>
      <c r="J128" s="5" t="s">
        <v>60</v>
      </c>
      <c r="K128" s="5" t="s">
        <v>176</v>
      </c>
      <c r="L128" s="6">
        <v>24778.25</v>
      </c>
      <c r="M128" s="5"/>
      <c r="N128" s="5" t="s">
        <v>64</v>
      </c>
      <c r="O128" s="5"/>
      <c r="P128" s="6">
        <v>1150</v>
      </c>
      <c r="Q128" s="5" t="s">
        <v>29</v>
      </c>
      <c r="R128" s="5"/>
      <c r="S128" s="5" t="s">
        <v>24</v>
      </c>
      <c r="T128" s="5" t="s">
        <v>24</v>
      </c>
    </row>
    <row r="129" spans="1:20" ht="47.25" x14ac:dyDescent="0.25">
      <c r="A129" s="2" t="str">
        <f>HYPERLINK("https://smarttender.biz/publichni-zakupivli-prozorro/16491349","9258256")</f>
        <v>9258256</v>
      </c>
      <c r="B129" s="2" t="str">
        <f>HYPERLINK("https://prozorro.gov.ua/tender/UA-2021-01-22-009408-b","UA-2021-01-22-009408-b")</f>
        <v>UA-2021-01-22-009408-b</v>
      </c>
      <c r="C129" s="3">
        <v>44218</v>
      </c>
      <c r="D129" s="5"/>
      <c r="E129" s="5" t="s">
        <v>36</v>
      </c>
      <c r="F129" s="5" t="s">
        <v>22</v>
      </c>
      <c r="G129" s="5" t="s">
        <v>23</v>
      </c>
      <c r="H129" s="5" t="s">
        <v>24</v>
      </c>
      <c r="I129" s="5" t="s">
        <v>81</v>
      </c>
      <c r="J129" s="5" t="s">
        <v>177</v>
      </c>
      <c r="K129" s="5" t="s">
        <v>178</v>
      </c>
      <c r="L129" s="6">
        <v>6325</v>
      </c>
      <c r="M129" s="5"/>
      <c r="N129" s="5" t="s">
        <v>64</v>
      </c>
      <c r="O129" s="5"/>
      <c r="P129" s="6">
        <v>230</v>
      </c>
      <c r="Q129" s="5" t="s">
        <v>29</v>
      </c>
      <c r="R129" s="5"/>
      <c r="S129" s="5" t="s">
        <v>24</v>
      </c>
      <c r="T129" s="5" t="s">
        <v>24</v>
      </c>
    </row>
    <row r="130" spans="1:20" ht="47.25" x14ac:dyDescent="0.25">
      <c r="A130" s="2" t="str">
        <f>HYPERLINK("https://smarttender.biz/publichni-zakupivli-prozorro/16487212","9255739")</f>
        <v>9255739</v>
      </c>
      <c r="B130" s="2" t="str">
        <f>HYPERLINK("https://prozorro.gov.ua/tender/UA-2021-01-22-007806-b","UA-2021-01-22-007806-b")</f>
        <v>UA-2021-01-22-007806-b</v>
      </c>
      <c r="C130" s="3">
        <v>44218</v>
      </c>
      <c r="D130" s="5"/>
      <c r="E130" s="5" t="s">
        <v>36</v>
      </c>
      <c r="F130" s="5" t="s">
        <v>22</v>
      </c>
      <c r="G130" s="5" t="s">
        <v>23</v>
      </c>
      <c r="H130" s="5" t="s">
        <v>24</v>
      </c>
      <c r="I130" s="5" t="s">
        <v>81</v>
      </c>
      <c r="J130" s="5" t="s">
        <v>62</v>
      </c>
      <c r="K130" s="5" t="s">
        <v>179</v>
      </c>
      <c r="L130" s="6">
        <v>15204</v>
      </c>
      <c r="M130" s="5"/>
      <c r="N130" s="5" t="s">
        <v>64</v>
      </c>
      <c r="O130" s="5"/>
      <c r="P130" s="6">
        <v>316</v>
      </c>
      <c r="Q130" s="5" t="s">
        <v>29</v>
      </c>
      <c r="R130" s="5"/>
      <c r="S130" s="5" t="s">
        <v>24</v>
      </c>
      <c r="T130" s="5" t="s">
        <v>24</v>
      </c>
    </row>
    <row r="131" spans="1:20" ht="47.25" x14ac:dyDescent="0.25">
      <c r="A131" s="2" t="str">
        <f>HYPERLINK("https://smarttender.biz/publichni-zakupivli-prozorro/16487977","9256251")</f>
        <v>9256251</v>
      </c>
      <c r="B131" s="2" t="str">
        <f>HYPERLINK("https://prozorro.gov.ua/tender/UA-2021-01-22-008093-b","UA-2021-01-22-008093-b")</f>
        <v>UA-2021-01-22-008093-b</v>
      </c>
      <c r="C131" s="3">
        <v>44218</v>
      </c>
      <c r="D131" s="5"/>
      <c r="E131" s="5" t="s">
        <v>36</v>
      </c>
      <c r="F131" s="5" t="s">
        <v>22</v>
      </c>
      <c r="G131" s="5" t="s">
        <v>23</v>
      </c>
      <c r="H131" s="5" t="s">
        <v>24</v>
      </c>
      <c r="I131" s="5" t="s">
        <v>81</v>
      </c>
      <c r="J131" s="5" t="s">
        <v>62</v>
      </c>
      <c r="K131" s="5" t="s">
        <v>180</v>
      </c>
      <c r="L131" s="6">
        <v>29560</v>
      </c>
      <c r="M131" s="5"/>
      <c r="N131" s="5" t="s">
        <v>64</v>
      </c>
      <c r="O131" s="5"/>
      <c r="P131" s="6">
        <v>787</v>
      </c>
      <c r="Q131" s="5" t="s">
        <v>29</v>
      </c>
      <c r="R131" s="5"/>
      <c r="S131" s="5" t="s">
        <v>24</v>
      </c>
      <c r="T131" s="5" t="s">
        <v>24</v>
      </c>
    </row>
    <row r="132" spans="1:20" ht="47.25" x14ac:dyDescent="0.25">
      <c r="A132" s="2" t="str">
        <f>HYPERLINK("https://smarttender.biz/publichni-zakupivli-prozorro/16582737","9306576")</f>
        <v>9306576</v>
      </c>
      <c r="B132" s="2" t="str">
        <f>HYPERLINK("https://prozorro.gov.ua/tender/UA-2021-01-26-009142-b","UA-2021-01-26-009142-b")</f>
        <v>UA-2021-01-26-009142-b</v>
      </c>
      <c r="C132" s="3">
        <v>44222</v>
      </c>
      <c r="D132" s="5"/>
      <c r="E132" s="5" t="s">
        <v>36</v>
      </c>
      <c r="F132" s="5" t="s">
        <v>22</v>
      </c>
      <c r="G132" s="5" t="s">
        <v>23</v>
      </c>
      <c r="H132" s="5" t="s">
        <v>24</v>
      </c>
      <c r="I132" s="5" t="s">
        <v>81</v>
      </c>
      <c r="J132" s="5" t="s">
        <v>181</v>
      </c>
      <c r="K132" s="5" t="s">
        <v>182</v>
      </c>
      <c r="L132" s="6">
        <v>432</v>
      </c>
      <c r="M132" s="5"/>
      <c r="N132" s="5" t="s">
        <v>64</v>
      </c>
      <c r="O132" s="5"/>
      <c r="P132" s="6">
        <v>1</v>
      </c>
      <c r="Q132" s="5" t="s">
        <v>111</v>
      </c>
      <c r="R132" s="5"/>
      <c r="S132" s="5" t="s">
        <v>24</v>
      </c>
      <c r="T132" s="5" t="s">
        <v>24</v>
      </c>
    </row>
  </sheetData>
  <autoFilter ref="A2:T2"/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ДНЗ14</dc:creator>
  <cp:lastModifiedBy>ДНЗ14</cp:lastModifiedBy>
  <dcterms:created xsi:type="dcterms:W3CDTF">2021-01-27T12:48:53Z</dcterms:created>
  <dcterms:modified xsi:type="dcterms:W3CDTF">2021-01-27T12:48:54Z</dcterms:modified>
</cp:coreProperties>
</file>